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75" firstSheet="1" activeTab="2"/>
  </bookViews>
  <sheets>
    <sheet name="PLANILHA TOTAL" sheetId="1" r:id="rId1"/>
    <sheet name="PLanilha" sheetId="2" r:id="rId2"/>
    <sheet name="Cronograma" sheetId="3" r:id="rId3"/>
  </sheets>
  <externalReferences>
    <externalReference r:id="rId6"/>
  </externalReferences>
  <definedNames>
    <definedName name="_xlnm.Print_Area" localSheetId="0">'PLANILHA TOTAL'!$B$1:$I$72</definedName>
  </definedNames>
  <calcPr fullCalcOnLoad="1"/>
</workbook>
</file>

<file path=xl/sharedStrings.xml><?xml version="1.0" encoding="utf-8"?>
<sst xmlns="http://schemas.openxmlformats.org/spreadsheetml/2006/main" count="374" uniqueCount="195">
  <si>
    <t>ITEM</t>
  </si>
  <si>
    <t>DESCRIÇÃO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</si>
  <si>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</si>
  <si>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</si>
  <si>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</si>
  <si>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</si>
  <si>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</si>
  <si>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</si>
  <si>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</si>
  <si>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</si>
  <si>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</si>
  <si>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</si>
  <si>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IIO-PLA-005</t>
  </si>
  <si>
    <t>TOTAL GERAL DA OBRA</t>
  </si>
  <si>
    <t>m2</t>
  </si>
  <si>
    <t>1.00</t>
  </si>
  <si>
    <t>unid.</t>
  </si>
  <si>
    <t>2.00</t>
  </si>
  <si>
    <t>m3</t>
  </si>
  <si>
    <t>Placa da obra padrão Governo do Estado de Minas Gerais  (1,50x3,0m)</t>
  </si>
  <si>
    <t>Regularização de sub leito com procton normal</t>
  </si>
  <si>
    <t>OBR-VIA-145</t>
  </si>
  <si>
    <t>Execução de base de solo estabilizado, incluido carga, descarga, espalhamento e compactação do material;incluindo aquisição mat. E=20 cm</t>
  </si>
  <si>
    <t>OBR-VIA-160</t>
  </si>
  <si>
    <t>OBR-VIA-165</t>
  </si>
  <si>
    <t>m3xkm</t>
  </si>
  <si>
    <t>OBR-VIA-435</t>
  </si>
  <si>
    <t>Ton x Km</t>
  </si>
  <si>
    <t>LOC-TOP-015</t>
  </si>
  <si>
    <t>ponto</t>
  </si>
  <si>
    <t>FOLHA Nº: 01/01</t>
  </si>
  <si>
    <t>(  X   )</t>
  </si>
  <si>
    <t>OBR-VIA-125</t>
  </si>
  <si>
    <t>PRAZO DE EXECUÇÃO: 120 DIAS</t>
  </si>
  <si>
    <t>QUANT.</t>
  </si>
  <si>
    <t>UNID.</t>
  </si>
  <si>
    <t>OBR-VIA-180</t>
  </si>
  <si>
    <t>PAVIMENTAÇÂO</t>
  </si>
  <si>
    <t>TERRAPLENAGEM</t>
  </si>
  <si>
    <t>SERVIÇOS PRELIMENARES</t>
  </si>
  <si>
    <t>Sub-Total</t>
  </si>
  <si>
    <t>R.T:</t>
  </si>
  <si>
    <t>Execução  de CBUQ - Concret0 Betuminoso Usinado a Quente, espessura = 3,0 cm, incluindo fornecimento dos agregados, material betuminoso  e transporte do material betuminoso dentro do canteiro de obra, excluso trasporte do material betuminoso e agregados até a usina.</t>
  </si>
  <si>
    <t>REGIÃO/MÊS DE REFERÊNCIA: SETOP NORTE - OUTUBRO /2018 C/ DESONERAÇÃO</t>
  </si>
  <si>
    <t>LOCAL:  AV. SIMÃO CAMPOS - SEDE DO MUNICÍPIO DE SÃO JOÃO DA PONTE/MG.</t>
  </si>
  <si>
    <t xml:space="preserve">OBRA: PAVIMENTAÇÃO ASFÁLTICA EM VIAS URBANAS COM CBUQ </t>
  </si>
  <si>
    <t>PREFEITURA MUNICIPAL DE SÃO JOÃO DA PONTE</t>
  </si>
  <si>
    <t>DATA: 11/02/2019</t>
  </si>
  <si>
    <t>%</t>
  </si>
  <si>
    <t>R$</t>
  </si>
  <si>
    <t>MOB-DES-020</t>
  </si>
  <si>
    <t>Obras até o valor de  1.000.000,00</t>
  </si>
  <si>
    <t>REFORÇO SUB-LEITO</t>
  </si>
  <si>
    <t>OBR-VIA-135</t>
  </si>
  <si>
    <t>M3</t>
  </si>
  <si>
    <t>2.1</t>
  </si>
  <si>
    <t>2.2</t>
  </si>
  <si>
    <t>3.0</t>
  </si>
  <si>
    <t>3.1</t>
  </si>
  <si>
    <t>4.1</t>
  </si>
  <si>
    <t>3.2</t>
  </si>
  <si>
    <t>OBR-VIA-320</t>
  </si>
  <si>
    <t xml:space="preserve">TRANSPORTE DE MATERIAL DE JAZIDA PARA CONSERVAÇÃO.
DISTÂNCIA MÉDIA DE TRANSPORTE DE 10,10 A 15,00 KM </t>
  </si>
  <si>
    <t>MPRIMAÇÃO (EXECUÇÃO, INCLUINDO FORNECIMENTO E
TRANSPORTE DO MATERIAL BETUMINOSO)</t>
  </si>
  <si>
    <t>PINTURA DE LIGAÇÃO (EXECUÇÃO, INCLUINDO FORNECIMENTO E
TRANSPORTE DO MATERIAL BETUMINOSO)</t>
  </si>
  <si>
    <t>LOCAÇÃO TOPOGRÁFICA ACIMA DE 50 PONTOS</t>
  </si>
  <si>
    <t>TRA-CAR-010</t>
  </si>
  <si>
    <t xml:space="preserve">CARGA DE MATERIAL DE QUALQUER NATUREZA SOBRE CAMINHÃO -
MECÂNICA </t>
  </si>
  <si>
    <t>TRA-CAM-015</t>
  </si>
  <si>
    <t>TRANSPORTE DE MATERIAL DE QUALQUER NATUREZA EM
CAMINHÃO 2 KM &lt; DMT &lt;= 5 KM (DENTRO DO PERÍMETRO
URBANO)</t>
  </si>
  <si>
    <t xml:space="preserve">REFORÇO DO SUB-LEITO (EXECUÇÃO, INCLUINDO ESCAVAÇÃO,
CARGA, DESCARGA, HOMOGENIZAÇÃO, UMIDECIMENTO,
ESPALHAMENTO E COMPACTAÇÃO DO MATERIAL)
</t>
  </si>
  <si>
    <t>SARJETA TIPO 2 - 50 X 5 CM, I = 15 %, PADRÃO DEER-MG</t>
  </si>
  <si>
    <t xml:space="preserve">DRE-SAR-010 </t>
  </si>
  <si>
    <t>M</t>
  </si>
  <si>
    <t>TER-API-005</t>
  </si>
  <si>
    <t>Apiloamento com soquete manual</t>
  </si>
  <si>
    <t>FUN-LAS-005</t>
  </si>
  <si>
    <t>Lastro de concreto magro</t>
  </si>
  <si>
    <t>1.1</t>
  </si>
  <si>
    <t>1.2</t>
  </si>
  <si>
    <t>1.3</t>
  </si>
  <si>
    <t>4.0</t>
  </si>
  <si>
    <t>4.2</t>
  </si>
  <si>
    <t>4.3</t>
  </si>
  <si>
    <t>5.0</t>
  </si>
  <si>
    <t>5.1</t>
  </si>
  <si>
    <t>5.2</t>
  </si>
  <si>
    <t>5.3</t>
  </si>
  <si>
    <t>5.4</t>
  </si>
  <si>
    <t>6.0</t>
  </si>
  <si>
    <t>6.1</t>
  </si>
  <si>
    <t>m</t>
  </si>
  <si>
    <t>POÇO DE VISITA PARA REDE TUBULAR TIPO A DN 1000, EXCLUSIVE ESCAVAÇÃO, REATERRO E BOTA FORA</t>
  </si>
  <si>
    <t>DRE-POÇ-035</t>
  </si>
  <si>
    <t>TAMPÃO DE FERRO FUNDIDO PARA POÇO DE VISITA</t>
  </si>
  <si>
    <t>DRE-TAM-005</t>
  </si>
  <si>
    <t>CAIXA DE CAPTAÇÃO E DRENAGEM TIPO A (100 X 100 X 120 CM), D
= 500 MM A 1500MM, INCLUSIVE ESCAVAÇÃO, REATERRO E BOTA
FORA</t>
  </si>
  <si>
    <t>DRE-CXS-006</t>
  </si>
  <si>
    <t>UND</t>
  </si>
  <si>
    <t>DRENAGEM - PRINCIPAL</t>
  </si>
  <si>
    <t>DRENAGEM - SEGUNDARIA</t>
  </si>
  <si>
    <t>BDI</t>
  </si>
  <si>
    <t>DRENAGEM - SUPERFICIAL</t>
  </si>
  <si>
    <t xml:space="preserve">ESCAVAÇÃO MECÂNICA DE VALAS COM DESCARGA LATERAL H &lt;=
1,50 M </t>
  </si>
  <si>
    <t>TER-ESC-055</t>
  </si>
  <si>
    <t xml:space="preserve">REATERRO COMPACTADO DE VALA COM EQUIPAMENTO PLACA
VIBRATÓRIA </t>
  </si>
  <si>
    <t>TER-REA-010</t>
  </si>
  <si>
    <t>FORNECIMENTO, ASSENTAMENTO E REJUNTAMENTO DE TUBO DE
CONCRETO ARMADO PA1 D = 1000 MM</t>
  </si>
  <si>
    <t>DRE-TUB-085</t>
  </si>
  <si>
    <t>FORNECIMENTO, ASSENTAMENTO E REJUNTAMENTO DE TUBO DE
CONCRETO ARMADO PA1 D = 600 MM</t>
  </si>
  <si>
    <t>DRE-TUB-075</t>
  </si>
  <si>
    <t xml:space="preserve"> TRANSPORTE DE MATERIAL DE QUALQUER NATUREZA. DISTÂNCIA
MÉDIA DE TRANSPORTE &gt;= 50,10 KM ( DMT = 73 km) </t>
  </si>
  <si>
    <t>DEMOLIÇÃO - PAVIMENTO EXISTENTE ( PARALELEPIPEDO)</t>
  </si>
  <si>
    <t>7.0</t>
  </si>
  <si>
    <t>7.1</t>
  </si>
  <si>
    <t>7.2</t>
  </si>
  <si>
    <t>7.3</t>
  </si>
  <si>
    <t>7.4</t>
  </si>
  <si>
    <t>7.5</t>
  </si>
  <si>
    <t>7.6</t>
  </si>
  <si>
    <t>7.7</t>
  </si>
  <si>
    <t>8.0</t>
  </si>
  <si>
    <t>8.1</t>
  </si>
  <si>
    <t>8.2</t>
  </si>
  <si>
    <t>8.3</t>
  </si>
  <si>
    <t>8.4</t>
  </si>
  <si>
    <t>8.5</t>
  </si>
  <si>
    <t>8.6</t>
  </si>
  <si>
    <t>OBRA: Execuçaõ de Fundação e Montagem de Reservatórios Taças Metálicas de 20 mil litros</t>
  </si>
  <si>
    <t>LOCAL:  ZONA RURAL DO MUNICÍPIO DE SÃO JOÃO DA PONTE/MG.</t>
  </si>
  <si>
    <t>LOCAÇÃO DA OBRA (GABARITO)</t>
  </si>
  <si>
    <t>LOC-OBR-005</t>
  </si>
  <si>
    <t>M2</t>
  </si>
  <si>
    <t/>
  </si>
  <si>
    <t>LIMPEZA DO TERRENO,INCLUSIVE CAPINA, RASTELAMENTO COM AFASTAMENTO ATÉ 20M E QUEIMA CONTROLADA</t>
  </si>
  <si>
    <t>PRE-LIM-005</t>
  </si>
  <si>
    <t>ESCAVAÇÃO MANUAL DE VALAS H &lt;= 1,50 M</t>
  </si>
  <si>
    <t>TER-ESC-035</t>
  </si>
  <si>
    <t>PERFURAÇÃO DE ESTACA BROCA A TRADO MANUAL D = 200 MM</t>
  </si>
  <si>
    <t>FUN-TRA-010</t>
  </si>
  <si>
    <t>FUN-CON-045</t>
  </si>
  <si>
    <t>2.3</t>
  </si>
  <si>
    <t>2.4</t>
  </si>
  <si>
    <t>2.5</t>
  </si>
  <si>
    <t>FORNECIMENTO DE CONCRETO ESTRUTURAL, PREPARADO EM OBRA COM BETONEIRA, COM FCK20MPA, INCLUSIVE LANÇAMENTO, ADENSAMENTO E ACABAMENTO (FUNDAÇÃO) Concreto para as estacas</t>
  </si>
  <si>
    <t>FORNECIMENTO DE CONCRETO ESTRUTURAL, PREPARADO EM OBRA COM BETONEIRA, COM FCK20MPA, INCLUSIVE LANÇAMENTO, ADENSAMENTO E ACABAMENTO (FUNDAÇÃO) Concreto para os blocos</t>
  </si>
  <si>
    <t>BLOCO 01</t>
  </si>
  <si>
    <t>RO-42285</t>
  </si>
  <si>
    <t>KG</t>
  </si>
  <si>
    <t>RO-41552</t>
  </si>
  <si>
    <r>
      <t>ARMAÇÃO:</t>
    </r>
    <r>
      <rPr>
        <b/>
        <sz val="8"/>
        <color indexed="8"/>
        <rFont val="Arial"/>
        <family val="2"/>
      </rPr>
      <t xml:space="preserve">AÇO CA-60 </t>
    </r>
    <r>
      <rPr>
        <sz val="8"/>
        <color indexed="8"/>
        <rFont val="Arial"/>
        <family val="2"/>
      </rPr>
      <t>(EXECUÇÃO,INCLUINDO PREPARO, DOBRAGEM, COLOCAÇÃO NA SFORMAS E TRANSPORTE DE TODOS OS  MATERIAIS)</t>
    </r>
  </si>
  <si>
    <r>
      <t xml:space="preserve">ARMAÇÃO: </t>
    </r>
    <r>
      <rPr>
        <b/>
        <sz val="8"/>
        <color indexed="8"/>
        <rFont val="Arial"/>
        <family val="2"/>
      </rPr>
      <t>AÇO CA-50</t>
    </r>
    <r>
      <rPr>
        <sz val="8"/>
        <color indexed="8"/>
        <rFont val="Arial"/>
        <family val="2"/>
      </rPr>
      <t xml:space="preserve"> (EXECUÇÃO,INCLUINDO PREPARO, DOBRAGEM, COLOCAÇÃO NA SFORMAS E TRANSPORTE DE TODOS OS  MATERIAIS)</t>
    </r>
  </si>
  <si>
    <t>2.6</t>
  </si>
  <si>
    <t>LASTRODECONCRETOMAGRO,INCLUSIVETRANSPORTE,LANÇAMENTO E ADENSAMENTO</t>
  </si>
  <si>
    <t>FORMAEDESFORMADETÁBUAESARRAFO,REAPROVEITAMENTO(3X), EXCLUSIVE ESCORAMENTO</t>
  </si>
  <si>
    <t>EST-FOR-005</t>
  </si>
  <si>
    <t>2.7</t>
  </si>
  <si>
    <t>2.8</t>
  </si>
  <si>
    <t>BLOCO 02</t>
  </si>
  <si>
    <t>BLOCO 03</t>
  </si>
  <si>
    <t>BLOCO 04</t>
  </si>
  <si>
    <t>MONTAGEM</t>
  </si>
  <si>
    <t>Mercado</t>
  </si>
  <si>
    <t>FORMA E DESFORMA DE TÁBUA  ESARRAFO, REAPROVEITAMENTO (3X), EXCLUSIVE ESCORAMENTO</t>
  </si>
  <si>
    <t>3.3</t>
  </si>
  <si>
    <t>3.4</t>
  </si>
  <si>
    <t>3.5</t>
  </si>
  <si>
    <t>3.6</t>
  </si>
  <si>
    <t>3.7</t>
  </si>
  <si>
    <t>3.8</t>
  </si>
  <si>
    <t>4.4</t>
  </si>
  <si>
    <t>4.5</t>
  </si>
  <si>
    <t>4.6</t>
  </si>
  <si>
    <t>4.7</t>
  </si>
  <si>
    <t>5.5</t>
  </si>
  <si>
    <t>5.6</t>
  </si>
  <si>
    <t>5.7</t>
  </si>
  <si>
    <t>5.8</t>
  </si>
  <si>
    <t>6.2</t>
  </si>
  <si>
    <t>Preço</t>
  </si>
  <si>
    <t>Mês 01</t>
  </si>
  <si>
    <t>% Exec</t>
  </si>
  <si>
    <t>Mês 02</t>
  </si>
  <si>
    <t>Mês 03</t>
  </si>
  <si>
    <t>Total</t>
  </si>
  <si>
    <t>FORMA E DESFORMA DE TÁBUA E SARRAFO, REAPROVEITAMENTO (3X), EXCLUSIVE ESCORAMENTO</t>
  </si>
  <si>
    <t>FORNECIMENTO DE CONCRETO ESTRUTURAL, PREPARADO EM OBRA COM BETONEIRA, COM FCK20MPA, INCLUSIVE LANÇAMENTO, ADENSAMENTO E ACABAMENTO (FUNDAÇÃO) Concreto para as 09 estacas</t>
  </si>
  <si>
    <t>LASTRO DE CONCRETO MAGRO, INCLUSIVE TRANSPORTE, LANÇAMENTO E ADENSAMENTO</t>
  </si>
  <si>
    <t>Caminhão munck Diária</t>
  </si>
  <si>
    <t>Caminhão tipo munck - Mobilização e Desmobilização - Km rodado</t>
  </si>
  <si>
    <t>Km</t>
  </si>
  <si>
    <t>LOCAL:  SEDDE e ZONA RURAL DO MUNICÍPIO DE SÃO JOÃO DA PONTE/MG.</t>
  </si>
  <si>
    <t>PRAZO DE EXECUÇÃO: 90 DIAS</t>
  </si>
  <si>
    <t xml:space="preserve">DATA: </t>
  </si>
  <si>
    <t>EXECUÇÃO DA FUNDAÇÃO DAS CAIXAS TAÇAS -  CRONOGRAMA FÍSICO-FINANCEIRO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</si>
</sst>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#,##0.000000000"/>
    <numFmt numFmtId="178" formatCode="&quot;R$ &quot;#,##0.00"/>
    <numFmt numFmtId="179" formatCode="#,##0.0;[Red]#,##0.0"/>
    <numFmt numFmtId="180" formatCode="#,##0;[Red]#,##0"/>
    <numFmt numFmtId="181" formatCode="0.0%"/>
    <numFmt numFmtId="182" formatCode="#,##0.000;[Red]#,##0.000"/>
    <numFmt numFmtId="183" formatCode="#,##0.0000;[Red]#,##0.0000"/>
    <numFmt numFmtId="184" formatCode="0.000000"/>
    <numFmt numFmtId="185" formatCode="0.00000"/>
    <numFmt numFmtId="186" formatCode="0.0000"/>
    <numFmt numFmtId="187" formatCode="0.000"/>
    <numFmt numFmtId="188" formatCode="_(* #,##0.000_);_(* \(#,##0.000\);_(* &quot;-&quot;??_);_(@_)"/>
    <numFmt numFmtId="189" formatCode="_(* #,##0.0000_);_(* \(#,##0.0000\);_(* &quot;-&quot;??_);_(@_)"/>
    <numFmt numFmtId="190" formatCode="#,##0.0"/>
    <numFmt numFmtId="191" formatCode="#,##0.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0.000000000000%"/>
    <numFmt numFmtId="202" formatCode="0.0000000000000%"/>
    <numFmt numFmtId="203" formatCode="0.00000000000000%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&quot;Ativado&quot;;&quot;Ativado&quot;;&quot;Desativado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0" fontId="6" fillId="0" borderId="14" xfId="51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4" fillId="0" borderId="15" xfId="53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2" fontId="4" fillId="0" borderId="15" xfId="53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4" fontId="7" fillId="0" borderId="15" xfId="0" applyNumberFormat="1" applyFont="1" applyBorder="1" applyAlignment="1">
      <alignment horizontal="center" vertical="center" wrapText="1"/>
    </xf>
    <xf numFmtId="9" fontId="4" fillId="0" borderId="15" xfId="5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71" fontId="7" fillId="34" borderId="15" xfId="53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 quotePrefix="1">
      <alignment/>
    </xf>
    <xf numFmtId="0" fontId="7" fillId="0" borderId="15" xfId="0" applyFont="1" applyBorder="1" applyAlignment="1">
      <alignment horizontal="left" vertical="center" wrapText="1"/>
    </xf>
    <xf numFmtId="171" fontId="4" fillId="0" borderId="15" xfId="53" applyFont="1" applyBorder="1" applyAlignment="1">
      <alignment horizontal="right" vertical="center" wrapText="1"/>
    </xf>
    <xf numFmtId="10" fontId="4" fillId="0" borderId="15" xfId="51" applyNumberFormat="1" applyFont="1" applyBorder="1" applyAlignment="1">
      <alignment horizontal="right" vertical="center" wrapText="1"/>
    </xf>
    <xf numFmtId="171" fontId="7" fillId="0" borderId="15" xfId="53" applyFont="1" applyBorder="1" applyAlignment="1">
      <alignment horizontal="right" vertical="center" wrapText="1"/>
    </xf>
    <xf numFmtId="43" fontId="7" fillId="0" borderId="15" xfId="0" applyNumberFormat="1" applyFont="1" applyBorder="1" applyAlignment="1">
      <alignment horizontal="right" vertical="center" wrapText="1"/>
    </xf>
    <xf numFmtId="4" fontId="7" fillId="35" borderId="15" xfId="0" applyNumberFormat="1" applyFont="1" applyFill="1" applyBorder="1" applyAlignment="1">
      <alignment horizontal="center" vertical="center" wrapText="1"/>
    </xf>
    <xf numFmtId="9" fontId="7" fillId="35" borderId="15" xfId="51" applyFont="1" applyFill="1" applyBorder="1" applyAlignment="1">
      <alignment horizontal="center" vertical="center" wrapText="1"/>
    </xf>
    <xf numFmtId="171" fontId="4" fillId="0" borderId="15" xfId="53" applyFont="1" applyBorder="1" applyAlignment="1">
      <alignment horizontal="center" vertical="center" wrapText="1"/>
    </xf>
    <xf numFmtId="171" fontId="1" fillId="0" borderId="15" xfId="53" applyFont="1" applyBorder="1" applyAlignment="1">
      <alignment/>
    </xf>
    <xf numFmtId="171" fontId="9" fillId="0" borderId="15" xfId="53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\Downloads\1%20-%20Mem&#243;ria%20de%20C&#225;l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. calc."/>
      <sheetName val="Relação de Ruas"/>
    </sheetNames>
    <sheetDataSet>
      <sheetData sheetId="0">
        <row r="11">
          <cell r="D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showGridLines="0" showZeros="0" zoomScaleSheetLayoutView="100" zoomScalePageLayoutView="0" workbookViewId="0" topLeftCell="A42">
      <selection activeCell="I58" sqref="I58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2.421875" style="1" customWidth="1"/>
    <col min="4" max="4" width="54.140625" style="1" customWidth="1"/>
    <col min="5" max="5" width="9.140625" style="1" customWidth="1"/>
    <col min="6" max="6" width="12.28125" style="1" customWidth="1"/>
    <col min="7" max="7" width="10.28125" style="1" customWidth="1"/>
    <col min="8" max="8" width="10.00390625" style="1" customWidth="1"/>
    <col min="9" max="9" width="10.8515625" style="1" customWidth="1"/>
    <col min="10" max="10" width="9.140625" style="1" customWidth="1"/>
    <col min="11" max="11" width="11.7109375" style="1" bestFit="1" customWidth="1"/>
    <col min="12" max="12" width="10.140625" style="1" bestFit="1" customWidth="1"/>
    <col min="13" max="13" width="9.140625" style="1" customWidth="1"/>
    <col min="14" max="14" width="10.140625" style="1" bestFit="1" customWidth="1"/>
    <col min="15" max="16384" width="9.140625" style="1" customWidth="1"/>
  </cols>
  <sheetData>
    <row r="1" spans="2:9" ht="36" customHeight="1">
      <c r="B1" s="64"/>
      <c r="C1" s="64"/>
      <c r="D1" s="63"/>
      <c r="E1" s="63"/>
      <c r="F1" s="63"/>
      <c r="G1" s="63"/>
      <c r="H1" s="63"/>
      <c r="I1" s="63"/>
    </row>
    <row r="2" spans="2:9" ht="3.75" customHeight="1" thickBot="1">
      <c r="B2" s="62"/>
      <c r="C2" s="62"/>
      <c r="D2" s="62"/>
      <c r="E2" s="62"/>
      <c r="F2" s="62"/>
      <c r="G2" s="62"/>
      <c r="H2" s="62"/>
      <c r="I2" s="62"/>
    </row>
    <row r="3" spans="2:9" ht="19.5" customHeight="1" thickBot="1">
      <c r="B3" s="97" t="s">
        <v>2</v>
      </c>
      <c r="C3" s="98"/>
      <c r="D3" s="98"/>
      <c r="E3" s="98"/>
      <c r="F3" s="98"/>
      <c r="G3" s="98"/>
      <c r="H3" s="98"/>
      <c r="I3" s="99"/>
    </row>
    <row r="4" spans="2:9" ht="3.75" customHeight="1" thickBot="1">
      <c r="B4" s="2"/>
      <c r="C4" s="2"/>
      <c r="D4" s="2"/>
      <c r="E4" s="2"/>
      <c r="F4" s="2"/>
      <c r="G4" s="2"/>
      <c r="H4" s="2"/>
      <c r="I4" s="2"/>
    </row>
    <row r="5" spans="2:9" ht="19.5" customHeight="1">
      <c r="B5" s="88" t="s">
        <v>46</v>
      </c>
      <c r="C5" s="89"/>
      <c r="D5" s="89"/>
      <c r="E5" s="89"/>
      <c r="F5" s="90"/>
      <c r="G5" s="100" t="s">
        <v>30</v>
      </c>
      <c r="H5" s="101"/>
      <c r="I5" s="102"/>
    </row>
    <row r="6" spans="2:9" ht="19.5" customHeight="1">
      <c r="B6" s="91" t="s">
        <v>45</v>
      </c>
      <c r="C6" s="92"/>
      <c r="D6" s="92"/>
      <c r="E6" s="92"/>
      <c r="F6" s="93"/>
      <c r="G6" s="85" t="s">
        <v>47</v>
      </c>
      <c r="H6" s="86"/>
      <c r="I6" s="87"/>
    </row>
    <row r="7" spans="2:9" ht="19.5" customHeight="1">
      <c r="B7" s="71" t="s">
        <v>44</v>
      </c>
      <c r="C7" s="72"/>
      <c r="D7" s="72"/>
      <c r="E7" s="73"/>
      <c r="F7" s="94" t="s">
        <v>9</v>
      </c>
      <c r="G7" s="95"/>
      <c r="H7" s="95"/>
      <c r="I7" s="96"/>
    </row>
    <row r="8" spans="2:9" ht="19.5" customHeight="1">
      <c r="B8" s="71" t="s">
        <v>43</v>
      </c>
      <c r="C8" s="72"/>
      <c r="D8" s="72"/>
      <c r="E8" s="73"/>
      <c r="F8" s="83" t="s">
        <v>6</v>
      </c>
      <c r="G8" s="81" t="s">
        <v>4</v>
      </c>
      <c r="H8" s="3" t="s">
        <v>31</v>
      </c>
      <c r="I8" s="4" t="s">
        <v>5</v>
      </c>
    </row>
    <row r="9" spans="2:9" ht="19.5" customHeight="1" thickBot="1">
      <c r="B9" s="74" t="s">
        <v>33</v>
      </c>
      <c r="C9" s="75"/>
      <c r="D9" s="75"/>
      <c r="E9" s="76"/>
      <c r="F9" s="84"/>
      <c r="G9" s="82"/>
      <c r="H9" s="5" t="s">
        <v>7</v>
      </c>
      <c r="I9" s="13">
        <v>0.2</v>
      </c>
    </row>
    <row r="10" spans="2:9" ht="3.75" customHeight="1">
      <c r="B10" s="78"/>
      <c r="C10" s="78"/>
      <c r="D10" s="78"/>
      <c r="E10" s="78"/>
      <c r="F10" s="78"/>
      <c r="G10" s="78"/>
      <c r="H10" s="78"/>
      <c r="I10" s="78"/>
    </row>
    <row r="11" spans="2:9" ht="38.25">
      <c r="B11" s="15" t="s">
        <v>0</v>
      </c>
      <c r="C11" s="15" t="s">
        <v>3</v>
      </c>
      <c r="D11" s="15" t="s">
        <v>1</v>
      </c>
      <c r="E11" s="15" t="s">
        <v>35</v>
      </c>
      <c r="F11" s="15" t="s">
        <v>34</v>
      </c>
      <c r="G11" s="16" t="s">
        <v>10</v>
      </c>
      <c r="H11" s="16" t="s">
        <v>11</v>
      </c>
      <c r="I11" s="16" t="s">
        <v>8</v>
      </c>
    </row>
    <row r="12" spans="2:9" ht="15.75" customHeight="1">
      <c r="B12" s="17" t="s">
        <v>15</v>
      </c>
      <c r="C12" s="18"/>
      <c r="D12" s="19" t="s">
        <v>39</v>
      </c>
      <c r="E12" s="20"/>
      <c r="F12" s="21"/>
      <c r="G12" s="21"/>
      <c r="H12" s="35" t="s">
        <v>101</v>
      </c>
      <c r="I12" s="44">
        <v>0.2</v>
      </c>
    </row>
    <row r="13" spans="2:9" ht="12.75" customHeight="1">
      <c r="B13" s="22" t="s">
        <v>78</v>
      </c>
      <c r="C13" s="23" t="s">
        <v>12</v>
      </c>
      <c r="D13" s="24" t="s">
        <v>19</v>
      </c>
      <c r="E13" s="20" t="s">
        <v>16</v>
      </c>
      <c r="F13" s="21">
        <f>'[1]mem. calc.'!$D$11</f>
        <v>1</v>
      </c>
      <c r="G13" s="25">
        <v>1083.52</v>
      </c>
      <c r="H13" s="21">
        <f>G13*(1+$I$12)</f>
        <v>1300.224</v>
      </c>
      <c r="I13" s="21">
        <f>ROUND((F13*H13),2)</f>
        <v>1300.22</v>
      </c>
    </row>
    <row r="14" spans="2:9" ht="14.25" customHeight="1">
      <c r="B14" s="22" t="s">
        <v>79</v>
      </c>
      <c r="C14" s="26" t="s">
        <v>28</v>
      </c>
      <c r="D14" s="27" t="s">
        <v>65</v>
      </c>
      <c r="E14" s="20" t="s">
        <v>29</v>
      </c>
      <c r="F14" s="21">
        <v>127</v>
      </c>
      <c r="G14" s="25">
        <v>74</v>
      </c>
      <c r="H14" s="21">
        <f aca="true" t="shared" si="0" ref="H14:H56">G14*(1+$I$12)</f>
        <v>88.8</v>
      </c>
      <c r="I14" s="21">
        <f>ROUND((F14*H14),2)</f>
        <v>11277.6</v>
      </c>
    </row>
    <row r="15" spans="2:9" ht="12.75" customHeight="1">
      <c r="B15" s="22" t="s">
        <v>80</v>
      </c>
      <c r="C15" s="26" t="s">
        <v>50</v>
      </c>
      <c r="D15" s="28" t="s">
        <v>51</v>
      </c>
      <c r="E15" s="29" t="s">
        <v>48</v>
      </c>
      <c r="F15" s="45">
        <v>0.005</v>
      </c>
      <c r="G15" s="21">
        <v>640000</v>
      </c>
      <c r="H15" s="21">
        <f t="shared" si="0"/>
        <v>768000</v>
      </c>
      <c r="I15" s="21">
        <f>ROUND((F15*H15),2)</f>
        <v>3840</v>
      </c>
    </row>
    <row r="16" spans="2:9" ht="12.75" customHeight="1">
      <c r="B16" s="30"/>
      <c r="C16" s="30"/>
      <c r="D16" s="31" t="s">
        <v>40</v>
      </c>
      <c r="E16" s="20"/>
      <c r="F16" s="21"/>
      <c r="G16" s="25"/>
      <c r="H16" s="21">
        <f t="shared" si="0"/>
        <v>0</v>
      </c>
      <c r="I16" s="32">
        <f>SUM(I13:I15)</f>
        <v>16417.82</v>
      </c>
    </row>
    <row r="17" spans="2:9" ht="12.75" customHeight="1">
      <c r="B17" s="17" t="s">
        <v>17</v>
      </c>
      <c r="C17" s="17"/>
      <c r="D17" s="19" t="s">
        <v>112</v>
      </c>
      <c r="E17" s="30"/>
      <c r="F17" s="21"/>
      <c r="G17" s="25"/>
      <c r="H17" s="21">
        <f t="shared" si="0"/>
        <v>0</v>
      </c>
      <c r="I17" s="21">
        <f>F17*H17</f>
        <v>0</v>
      </c>
    </row>
    <row r="18" spans="2:9" ht="31.5" customHeight="1">
      <c r="B18" s="22" t="s">
        <v>55</v>
      </c>
      <c r="C18" s="22" t="s">
        <v>66</v>
      </c>
      <c r="D18" s="28" t="s">
        <v>67</v>
      </c>
      <c r="E18" s="22" t="s">
        <v>54</v>
      </c>
      <c r="F18" s="21">
        <f>9485*0.23</f>
        <v>2181.55</v>
      </c>
      <c r="G18" s="25">
        <v>1.35</v>
      </c>
      <c r="H18" s="21">
        <f t="shared" si="0"/>
        <v>1.62</v>
      </c>
      <c r="I18" s="21">
        <f>H18*F18</f>
        <v>3534.1110000000003</v>
      </c>
    </row>
    <row r="19" spans="2:9" ht="35.25" customHeight="1">
      <c r="B19" s="22" t="s">
        <v>56</v>
      </c>
      <c r="C19" s="22" t="s">
        <v>68</v>
      </c>
      <c r="D19" s="28" t="s">
        <v>69</v>
      </c>
      <c r="E19" s="29" t="s">
        <v>25</v>
      </c>
      <c r="F19" s="21">
        <f>+F18*3</f>
        <v>6544.650000000001</v>
      </c>
      <c r="G19" s="25">
        <v>3.33</v>
      </c>
      <c r="H19" s="21">
        <f t="shared" si="0"/>
        <v>3.996</v>
      </c>
      <c r="I19" s="21">
        <f>H19*F19</f>
        <v>26152.421400000003</v>
      </c>
    </row>
    <row r="20" spans="2:9" ht="15" customHeight="1">
      <c r="B20" s="30"/>
      <c r="C20" s="30"/>
      <c r="D20" s="31" t="s">
        <v>40</v>
      </c>
      <c r="E20" s="20"/>
      <c r="F20" s="21"/>
      <c r="G20" s="25"/>
      <c r="H20" s="21">
        <f t="shared" si="0"/>
        <v>0</v>
      </c>
      <c r="I20" s="32">
        <f>SUM(I18:I19)</f>
        <v>29686.532400000004</v>
      </c>
    </row>
    <row r="21" spans="2:9" ht="17.25" customHeight="1">
      <c r="B21" s="19" t="s">
        <v>57</v>
      </c>
      <c r="C21" s="22"/>
      <c r="D21" s="19" t="s">
        <v>52</v>
      </c>
      <c r="E21" s="22"/>
      <c r="F21" s="21"/>
      <c r="G21" s="25"/>
      <c r="H21" s="21">
        <f t="shared" si="0"/>
        <v>0</v>
      </c>
      <c r="I21" s="21"/>
    </row>
    <row r="22" spans="2:9" ht="36" customHeight="1">
      <c r="B22" s="22" t="s">
        <v>58</v>
      </c>
      <c r="C22" s="26" t="s">
        <v>53</v>
      </c>
      <c r="D22" s="28" t="s">
        <v>70</v>
      </c>
      <c r="E22" s="29" t="s">
        <v>54</v>
      </c>
      <c r="F22" s="21">
        <f>9485*0.2</f>
        <v>1897</v>
      </c>
      <c r="G22" s="21">
        <v>10</v>
      </c>
      <c r="H22" s="21">
        <f t="shared" si="0"/>
        <v>12</v>
      </c>
      <c r="I22" s="21">
        <f>H22*F22</f>
        <v>22764</v>
      </c>
    </row>
    <row r="23" spans="2:9" ht="36" customHeight="1">
      <c r="B23" s="22" t="s">
        <v>60</v>
      </c>
      <c r="C23" s="22" t="s">
        <v>68</v>
      </c>
      <c r="D23" s="28" t="s">
        <v>69</v>
      </c>
      <c r="E23" s="29" t="s">
        <v>25</v>
      </c>
      <c r="F23" s="21">
        <f>F22*5</f>
        <v>9485</v>
      </c>
      <c r="G23" s="21">
        <v>3.33</v>
      </c>
      <c r="H23" s="21">
        <f t="shared" si="0"/>
        <v>3.996</v>
      </c>
      <c r="I23" s="21">
        <f>H23*F23</f>
        <v>37902.06</v>
      </c>
    </row>
    <row r="24" spans="2:9" ht="12.75">
      <c r="B24" s="30"/>
      <c r="C24" s="30"/>
      <c r="D24" s="31" t="s">
        <v>40</v>
      </c>
      <c r="E24" s="20"/>
      <c r="F24" s="21"/>
      <c r="G24" s="25"/>
      <c r="H24" s="21">
        <f t="shared" si="0"/>
        <v>0</v>
      </c>
      <c r="I24" s="32">
        <f>SUM(I22:I23)</f>
        <v>60666.06</v>
      </c>
    </row>
    <row r="25" spans="2:9" ht="12.75">
      <c r="B25" s="19" t="s">
        <v>81</v>
      </c>
      <c r="C25" s="17"/>
      <c r="D25" s="19" t="s">
        <v>38</v>
      </c>
      <c r="E25" s="30"/>
      <c r="F25" s="21"/>
      <c r="G25" s="25"/>
      <c r="H25" s="21">
        <f t="shared" si="0"/>
        <v>0</v>
      </c>
      <c r="I25" s="21">
        <f>F25*H25</f>
        <v>0</v>
      </c>
    </row>
    <row r="26" spans="2:9" ht="12.75">
      <c r="B26" s="22" t="s">
        <v>59</v>
      </c>
      <c r="C26" s="30" t="s">
        <v>32</v>
      </c>
      <c r="D26" s="24" t="s">
        <v>20</v>
      </c>
      <c r="E26" s="22" t="s">
        <v>14</v>
      </c>
      <c r="F26" s="21">
        <v>9485</v>
      </c>
      <c r="G26" s="25">
        <v>0.78</v>
      </c>
      <c r="H26" s="21">
        <f t="shared" si="0"/>
        <v>0.9359999999999999</v>
      </c>
      <c r="I26" s="21">
        <f>ROUND((F26*H26),2)</f>
        <v>8877.96</v>
      </c>
    </row>
    <row r="27" spans="2:9" ht="24" customHeight="1">
      <c r="B27" s="22" t="s">
        <v>82</v>
      </c>
      <c r="C27" s="22" t="s">
        <v>61</v>
      </c>
      <c r="D27" s="28" t="s">
        <v>62</v>
      </c>
      <c r="E27" s="20" t="s">
        <v>25</v>
      </c>
      <c r="F27" s="21">
        <f>SUM(9485*0.2*1.3*15)</f>
        <v>36991.5</v>
      </c>
      <c r="G27" s="25">
        <v>0.89</v>
      </c>
      <c r="H27" s="21">
        <f t="shared" si="0"/>
        <v>1.068</v>
      </c>
      <c r="I27" s="21">
        <f>ROUND((F27*H27),2)</f>
        <v>39506.92</v>
      </c>
    </row>
    <row r="28" spans="2:9" ht="33.75" customHeight="1">
      <c r="B28" s="22" t="s">
        <v>83</v>
      </c>
      <c r="C28" s="30" t="s">
        <v>21</v>
      </c>
      <c r="D28" s="24" t="s">
        <v>22</v>
      </c>
      <c r="E28" s="20" t="s">
        <v>18</v>
      </c>
      <c r="F28" s="21">
        <v>1897</v>
      </c>
      <c r="G28" s="25">
        <v>13.42</v>
      </c>
      <c r="H28" s="21">
        <f t="shared" si="0"/>
        <v>16.104</v>
      </c>
      <c r="I28" s="21">
        <f>ROUND((F28*H28),2)</f>
        <v>30549.29</v>
      </c>
    </row>
    <row r="29" spans="2:9" ht="12.75" customHeight="1">
      <c r="B29" s="30"/>
      <c r="C29" s="30"/>
      <c r="D29" s="24"/>
      <c r="E29" s="22"/>
      <c r="F29" s="21"/>
      <c r="G29" s="25"/>
      <c r="H29" s="21">
        <f t="shared" si="0"/>
        <v>0</v>
      </c>
      <c r="I29" s="21"/>
    </row>
    <row r="30" spans="2:9" ht="12.75">
      <c r="B30" s="30"/>
      <c r="C30" s="30"/>
      <c r="D30" s="31" t="s">
        <v>40</v>
      </c>
      <c r="E30" s="30"/>
      <c r="F30" s="21"/>
      <c r="G30" s="25"/>
      <c r="H30" s="21">
        <f t="shared" si="0"/>
        <v>0</v>
      </c>
      <c r="I30" s="32">
        <f>SUM(I26:I29)</f>
        <v>78934.17</v>
      </c>
    </row>
    <row r="31" spans="2:9" ht="12.75">
      <c r="B31" s="19" t="s">
        <v>84</v>
      </c>
      <c r="C31" s="17"/>
      <c r="D31" s="19" t="s">
        <v>37</v>
      </c>
      <c r="E31" s="30"/>
      <c r="F31" s="21"/>
      <c r="G31" s="25"/>
      <c r="H31" s="21">
        <f t="shared" si="0"/>
        <v>0</v>
      </c>
      <c r="I31" s="21">
        <f>F31*H31</f>
        <v>0</v>
      </c>
    </row>
    <row r="32" spans="2:9" ht="22.5">
      <c r="B32" s="22" t="s">
        <v>85</v>
      </c>
      <c r="C32" s="30" t="s">
        <v>23</v>
      </c>
      <c r="D32" s="28" t="s">
        <v>63</v>
      </c>
      <c r="E32" s="20" t="s">
        <v>14</v>
      </c>
      <c r="F32" s="21">
        <f>9485+266</f>
        <v>9751</v>
      </c>
      <c r="G32" s="25">
        <v>5.36</v>
      </c>
      <c r="H32" s="21">
        <f t="shared" si="0"/>
        <v>6.432</v>
      </c>
      <c r="I32" s="21">
        <f>ROUND((F32*H32),2)</f>
        <v>62718.43</v>
      </c>
    </row>
    <row r="33" spans="2:9" ht="30" customHeight="1">
      <c r="B33" s="22" t="s">
        <v>86</v>
      </c>
      <c r="C33" s="30" t="s">
        <v>24</v>
      </c>
      <c r="D33" s="28" t="s">
        <v>64</v>
      </c>
      <c r="E33" s="30" t="s">
        <v>14</v>
      </c>
      <c r="F33" s="21">
        <f>9485+266</f>
        <v>9751</v>
      </c>
      <c r="G33" s="25">
        <v>1.13</v>
      </c>
      <c r="H33" s="21">
        <f t="shared" si="0"/>
        <v>1.3559999999999999</v>
      </c>
      <c r="I33" s="21">
        <f>ROUND((F33*H33),2)</f>
        <v>13222.36</v>
      </c>
    </row>
    <row r="34" spans="2:9" ht="48" customHeight="1">
      <c r="B34" s="22" t="s">
        <v>87</v>
      </c>
      <c r="C34" s="33" t="s">
        <v>36</v>
      </c>
      <c r="D34" s="28" t="s">
        <v>42</v>
      </c>
      <c r="E34" s="30" t="s">
        <v>18</v>
      </c>
      <c r="F34" s="21">
        <f>284.55+7.98</f>
        <v>292.53000000000003</v>
      </c>
      <c r="G34" s="34">
        <v>622.73</v>
      </c>
      <c r="H34" s="21">
        <f t="shared" si="0"/>
        <v>747.276</v>
      </c>
      <c r="I34" s="21">
        <f>ROUND((F34*H34),2)</f>
        <v>218600.65</v>
      </c>
    </row>
    <row r="35" spans="2:9" ht="28.5" customHeight="1">
      <c r="B35" s="22" t="s">
        <v>88</v>
      </c>
      <c r="C35" s="26" t="s">
        <v>26</v>
      </c>
      <c r="D35" s="28" t="s">
        <v>111</v>
      </c>
      <c r="E35" s="20" t="s">
        <v>27</v>
      </c>
      <c r="F35" s="21">
        <f>+F34*2.4*73</f>
        <v>51251.256</v>
      </c>
      <c r="G35" s="25">
        <v>0.45</v>
      </c>
      <c r="H35" s="21">
        <f t="shared" si="0"/>
        <v>0.54</v>
      </c>
      <c r="I35" s="21">
        <f>ROUND((F35*H35),2)</f>
        <v>27675.68</v>
      </c>
    </row>
    <row r="36" spans="2:9" ht="11.25" customHeight="1">
      <c r="B36" s="30"/>
      <c r="C36" s="26"/>
      <c r="D36" s="28"/>
      <c r="E36" s="20"/>
      <c r="F36" s="21"/>
      <c r="G36" s="25"/>
      <c r="H36" s="21">
        <f t="shared" si="0"/>
        <v>0</v>
      </c>
      <c r="I36" s="21"/>
    </row>
    <row r="37" spans="2:11" ht="12.75" customHeight="1">
      <c r="B37" s="30"/>
      <c r="C37" s="23"/>
      <c r="D37" s="31" t="s">
        <v>40</v>
      </c>
      <c r="E37" s="20"/>
      <c r="F37" s="21"/>
      <c r="G37" s="25"/>
      <c r="H37" s="21">
        <f t="shared" si="0"/>
        <v>0</v>
      </c>
      <c r="I37" s="35">
        <f>SUM(I32:I36)</f>
        <v>322217.12</v>
      </c>
      <c r="K37" s="14"/>
    </row>
    <row r="38" spans="2:9" ht="12.75" customHeight="1">
      <c r="B38" s="19" t="s">
        <v>89</v>
      </c>
      <c r="C38" s="17"/>
      <c r="D38" s="19" t="s">
        <v>102</v>
      </c>
      <c r="E38" s="20"/>
      <c r="F38" s="21"/>
      <c r="G38" s="25"/>
      <c r="H38" s="21">
        <f t="shared" si="0"/>
        <v>0</v>
      </c>
      <c r="I38" s="21">
        <f>F38*H38</f>
        <v>0</v>
      </c>
    </row>
    <row r="39" spans="2:9" ht="12.75" customHeight="1">
      <c r="B39" s="22" t="s">
        <v>90</v>
      </c>
      <c r="C39" s="26" t="s">
        <v>72</v>
      </c>
      <c r="D39" s="28" t="s">
        <v>71</v>
      </c>
      <c r="E39" s="29" t="s">
        <v>73</v>
      </c>
      <c r="F39" s="21">
        <f>629*2+638*2-459</f>
        <v>2075</v>
      </c>
      <c r="G39" s="25">
        <v>18.8</v>
      </c>
      <c r="H39" s="21">
        <f t="shared" si="0"/>
        <v>22.56</v>
      </c>
      <c r="I39" s="21">
        <f>H39*F39</f>
        <v>46812</v>
      </c>
    </row>
    <row r="40" spans="2:9" ht="12.75" customHeight="1">
      <c r="B40" s="22"/>
      <c r="C40" s="26"/>
      <c r="D40" s="31" t="s">
        <v>40</v>
      </c>
      <c r="E40" s="29"/>
      <c r="F40" s="21"/>
      <c r="G40" s="25"/>
      <c r="H40" s="21"/>
      <c r="I40" s="35">
        <f>SUM(I39)</f>
        <v>46812</v>
      </c>
    </row>
    <row r="41" spans="2:9" ht="12.75" customHeight="1">
      <c r="B41" s="19" t="s">
        <v>113</v>
      </c>
      <c r="C41" s="26"/>
      <c r="D41" s="19" t="s">
        <v>99</v>
      </c>
      <c r="E41" s="29"/>
      <c r="F41" s="21"/>
      <c r="G41" s="25"/>
      <c r="H41" s="21">
        <f t="shared" si="0"/>
        <v>0</v>
      </c>
      <c r="I41" s="21">
        <f aca="true" t="shared" si="1" ref="I41:I56">H41*F41</f>
        <v>0</v>
      </c>
    </row>
    <row r="42" spans="2:9" ht="30.75" customHeight="1">
      <c r="B42" s="22" t="s">
        <v>114</v>
      </c>
      <c r="C42" s="26" t="s">
        <v>108</v>
      </c>
      <c r="D42" s="36" t="s">
        <v>107</v>
      </c>
      <c r="E42" s="29" t="s">
        <v>91</v>
      </c>
      <c r="F42" s="21">
        <v>180</v>
      </c>
      <c r="G42" s="25">
        <v>565.65</v>
      </c>
      <c r="H42" s="21">
        <f t="shared" si="0"/>
        <v>678.78</v>
      </c>
      <c r="I42" s="21">
        <f t="shared" si="1"/>
        <v>122180.4</v>
      </c>
    </row>
    <row r="43" spans="2:9" ht="24" customHeight="1">
      <c r="B43" s="22" t="s">
        <v>115</v>
      </c>
      <c r="C43" s="26" t="s">
        <v>104</v>
      </c>
      <c r="D43" s="36" t="s">
        <v>103</v>
      </c>
      <c r="E43" s="29" t="s">
        <v>18</v>
      </c>
      <c r="F43" s="21">
        <f>+F42*1.3*2</f>
        <v>468</v>
      </c>
      <c r="G43" s="25">
        <v>4.36</v>
      </c>
      <c r="H43" s="21">
        <f t="shared" si="0"/>
        <v>5.232</v>
      </c>
      <c r="I43" s="21">
        <f t="shared" si="1"/>
        <v>2448.576</v>
      </c>
    </row>
    <row r="44" spans="2:9" ht="12.75" customHeight="1">
      <c r="B44" s="22" t="s">
        <v>116</v>
      </c>
      <c r="C44" s="22" t="s">
        <v>74</v>
      </c>
      <c r="D44" s="37" t="s">
        <v>75</v>
      </c>
      <c r="E44" s="29" t="s">
        <v>14</v>
      </c>
      <c r="F44" s="25">
        <f>F42*1.3</f>
        <v>234</v>
      </c>
      <c r="G44" s="25">
        <v>14.81</v>
      </c>
      <c r="H44" s="21">
        <f t="shared" si="0"/>
        <v>17.772</v>
      </c>
      <c r="I44" s="21">
        <f t="shared" si="1"/>
        <v>4158.647999999999</v>
      </c>
    </row>
    <row r="45" spans="2:9" ht="24.75" customHeight="1">
      <c r="B45" s="22" t="s">
        <v>117</v>
      </c>
      <c r="C45" s="22" t="s">
        <v>106</v>
      </c>
      <c r="D45" s="36" t="s">
        <v>105</v>
      </c>
      <c r="E45" s="29" t="s">
        <v>18</v>
      </c>
      <c r="F45" s="21">
        <f>F42*1.3*0.8</f>
        <v>187.20000000000002</v>
      </c>
      <c r="G45" s="25">
        <v>27.53</v>
      </c>
      <c r="H45" s="21">
        <f t="shared" si="0"/>
        <v>33.036</v>
      </c>
      <c r="I45" s="21">
        <f t="shared" si="1"/>
        <v>6184.339200000001</v>
      </c>
    </row>
    <row r="46" spans="2:9" ht="13.5" customHeight="1">
      <c r="B46" s="22" t="s">
        <v>118</v>
      </c>
      <c r="C46" s="22" t="s">
        <v>76</v>
      </c>
      <c r="D46" s="37" t="s">
        <v>77</v>
      </c>
      <c r="E46" s="38" t="s">
        <v>18</v>
      </c>
      <c r="F46" s="46">
        <f>+F42*1*0.03</f>
        <v>5.3999999999999995</v>
      </c>
      <c r="G46" s="25">
        <v>311.24</v>
      </c>
      <c r="H46" s="21">
        <f t="shared" si="0"/>
        <v>373.488</v>
      </c>
      <c r="I46" s="21">
        <f t="shared" si="1"/>
        <v>2016.8351999999998</v>
      </c>
    </row>
    <row r="47" spans="2:9" ht="24.75" customHeight="1">
      <c r="B47" s="22" t="s">
        <v>119</v>
      </c>
      <c r="C47" s="39" t="s">
        <v>93</v>
      </c>
      <c r="D47" s="40" t="s">
        <v>92</v>
      </c>
      <c r="E47" s="29" t="s">
        <v>98</v>
      </c>
      <c r="F47" s="21">
        <v>2</v>
      </c>
      <c r="G47" s="25">
        <v>1718.18</v>
      </c>
      <c r="H47" s="21">
        <f t="shared" si="0"/>
        <v>2061.816</v>
      </c>
      <c r="I47" s="21">
        <f t="shared" si="1"/>
        <v>4123.632</v>
      </c>
    </row>
    <row r="48" spans="2:9" ht="15" customHeight="1">
      <c r="B48" s="22" t="s">
        <v>120</v>
      </c>
      <c r="C48" s="41" t="s">
        <v>95</v>
      </c>
      <c r="D48" s="41" t="s">
        <v>94</v>
      </c>
      <c r="E48" s="29" t="s">
        <v>98</v>
      </c>
      <c r="F48" s="21">
        <v>2</v>
      </c>
      <c r="G48" s="25">
        <v>391.03</v>
      </c>
      <c r="H48" s="21">
        <f t="shared" si="0"/>
        <v>469.23599999999993</v>
      </c>
      <c r="I48" s="21">
        <f t="shared" si="1"/>
        <v>938.4719999999999</v>
      </c>
    </row>
    <row r="49" spans="2:9" ht="15" customHeight="1">
      <c r="B49" s="22"/>
      <c r="C49" s="41"/>
      <c r="D49" s="31" t="s">
        <v>40</v>
      </c>
      <c r="E49" s="29"/>
      <c r="F49" s="21"/>
      <c r="G49" s="25"/>
      <c r="H49" s="21"/>
      <c r="I49" s="35">
        <f>SUM(I42:I48)</f>
        <v>142050.90240000002</v>
      </c>
    </row>
    <row r="50" spans="2:9" ht="15" customHeight="1">
      <c r="B50" s="19" t="s">
        <v>121</v>
      </c>
      <c r="C50" s="26"/>
      <c r="D50" s="19" t="s">
        <v>100</v>
      </c>
      <c r="E50" s="29"/>
      <c r="F50" s="21"/>
      <c r="G50" s="25"/>
      <c r="H50" s="21">
        <f t="shared" si="0"/>
        <v>0</v>
      </c>
      <c r="I50" s="21">
        <f t="shared" si="1"/>
        <v>0</v>
      </c>
    </row>
    <row r="51" spans="2:9" ht="25.5" customHeight="1">
      <c r="B51" s="22" t="s">
        <v>122</v>
      </c>
      <c r="C51" s="26" t="s">
        <v>104</v>
      </c>
      <c r="D51" s="36" t="s">
        <v>103</v>
      </c>
      <c r="E51" s="29" t="s">
        <v>18</v>
      </c>
      <c r="F51" s="21">
        <f>220*0.9*1.5</f>
        <v>297</v>
      </c>
      <c r="G51" s="25">
        <v>43.79</v>
      </c>
      <c r="H51" s="21">
        <f t="shared" si="0"/>
        <v>52.547999999999995</v>
      </c>
      <c r="I51" s="21">
        <f t="shared" si="1"/>
        <v>15606.755999999998</v>
      </c>
    </row>
    <row r="52" spans="2:9" ht="16.5" customHeight="1">
      <c r="B52" s="22" t="s">
        <v>123</v>
      </c>
      <c r="C52" s="22" t="s">
        <v>74</v>
      </c>
      <c r="D52" s="37" t="s">
        <v>75</v>
      </c>
      <c r="E52" s="29" t="s">
        <v>14</v>
      </c>
      <c r="F52" s="25">
        <f>220*0.9</f>
        <v>198</v>
      </c>
      <c r="G52" s="25">
        <v>14.81</v>
      </c>
      <c r="H52" s="21">
        <f t="shared" si="0"/>
        <v>17.772</v>
      </c>
      <c r="I52" s="21">
        <f t="shared" si="1"/>
        <v>3518.8559999999998</v>
      </c>
    </row>
    <row r="53" spans="2:9" ht="27" customHeight="1">
      <c r="B53" s="22" t="s">
        <v>124</v>
      </c>
      <c r="C53" s="22" t="s">
        <v>106</v>
      </c>
      <c r="D53" s="36" t="s">
        <v>105</v>
      </c>
      <c r="E53" s="29" t="s">
        <v>18</v>
      </c>
      <c r="F53" s="21">
        <f>220*0.9*0.9</f>
        <v>178.20000000000002</v>
      </c>
      <c r="G53" s="25">
        <v>43.79</v>
      </c>
      <c r="H53" s="21">
        <f t="shared" si="0"/>
        <v>52.547999999999995</v>
      </c>
      <c r="I53" s="21">
        <f t="shared" si="1"/>
        <v>9364.0536</v>
      </c>
    </row>
    <row r="54" spans="2:9" ht="15.75" customHeight="1">
      <c r="B54" s="22" t="s">
        <v>125</v>
      </c>
      <c r="C54" s="22" t="s">
        <v>76</v>
      </c>
      <c r="D54" s="37" t="s">
        <v>77</v>
      </c>
      <c r="E54" s="38" t="s">
        <v>18</v>
      </c>
      <c r="F54" s="21">
        <f>220*0.6*0.003</f>
        <v>0.396</v>
      </c>
      <c r="G54" s="25">
        <v>311.24</v>
      </c>
      <c r="H54" s="21">
        <f t="shared" si="0"/>
        <v>373.488</v>
      </c>
      <c r="I54" s="21">
        <f t="shared" si="1"/>
        <v>147.901248</v>
      </c>
    </row>
    <row r="55" spans="2:9" ht="33.75" customHeight="1">
      <c r="B55" s="22" t="s">
        <v>126</v>
      </c>
      <c r="C55" s="39" t="s">
        <v>97</v>
      </c>
      <c r="D55" s="42" t="s">
        <v>96</v>
      </c>
      <c r="E55" s="29" t="s">
        <v>98</v>
      </c>
      <c r="F55" s="21">
        <v>19</v>
      </c>
      <c r="G55" s="25">
        <v>992.27</v>
      </c>
      <c r="H55" s="21">
        <f t="shared" si="0"/>
        <v>1190.724</v>
      </c>
      <c r="I55" s="21">
        <f t="shared" si="1"/>
        <v>22623.755999999998</v>
      </c>
    </row>
    <row r="56" spans="2:9" ht="24" customHeight="1">
      <c r="B56" s="22" t="s">
        <v>127</v>
      </c>
      <c r="C56" s="47" t="s">
        <v>110</v>
      </c>
      <c r="D56" s="40" t="s">
        <v>109</v>
      </c>
      <c r="E56" s="29" t="s">
        <v>98</v>
      </c>
      <c r="F56" s="21">
        <v>220</v>
      </c>
      <c r="G56" s="25">
        <v>142.86</v>
      </c>
      <c r="H56" s="21">
        <f t="shared" si="0"/>
        <v>171.43200000000002</v>
      </c>
      <c r="I56" s="21">
        <f t="shared" si="1"/>
        <v>37715.04</v>
      </c>
    </row>
    <row r="57" spans="2:9" ht="12.75">
      <c r="B57" s="30"/>
      <c r="C57" s="30"/>
      <c r="D57" s="31" t="s">
        <v>40</v>
      </c>
      <c r="E57" s="20"/>
      <c r="F57" s="21"/>
      <c r="G57" s="25">
        <v>0</v>
      </c>
      <c r="H57" s="21">
        <f>ROUND((G57*1.25),2)</f>
        <v>0</v>
      </c>
      <c r="I57" s="32">
        <f>SUM(I51:I56)</f>
        <v>88976.36284799999</v>
      </c>
    </row>
    <row r="58" spans="2:11" ht="18" customHeight="1">
      <c r="B58" s="77" t="s">
        <v>13</v>
      </c>
      <c r="C58" s="77"/>
      <c r="D58" s="77"/>
      <c r="E58" s="77"/>
      <c r="F58" s="77"/>
      <c r="G58" s="77"/>
      <c r="H58" s="77"/>
      <c r="I58" s="43">
        <f>SUM(I13:I57)/2</f>
        <v>785760.9676480001</v>
      </c>
      <c r="K58" s="6"/>
    </row>
    <row r="59" spans="2:11" ht="14.25" customHeight="1">
      <c r="B59" s="7"/>
      <c r="C59" s="7"/>
      <c r="D59" s="7"/>
      <c r="E59" s="7"/>
      <c r="F59" s="7"/>
      <c r="G59" s="7"/>
      <c r="H59" s="7"/>
      <c r="I59" s="8"/>
      <c r="K59" s="6"/>
    </row>
    <row r="60" spans="2:9" ht="14.25" customHeight="1">
      <c r="B60" s="7"/>
      <c r="C60" s="7"/>
      <c r="D60" s="7"/>
      <c r="E60" s="7"/>
      <c r="F60" s="7"/>
      <c r="G60" s="7"/>
      <c r="H60" s="7"/>
      <c r="I60" s="8"/>
    </row>
    <row r="61" spans="2:9" ht="14.25" customHeight="1">
      <c r="B61" s="7"/>
      <c r="C61" s="7"/>
      <c r="D61" s="7"/>
      <c r="E61" s="7"/>
      <c r="F61" s="7"/>
      <c r="G61" s="7"/>
      <c r="H61" s="7"/>
      <c r="I61" s="8"/>
    </row>
    <row r="62" spans="2:9" ht="11.25" customHeight="1">
      <c r="B62" s="9"/>
      <c r="C62" s="65" t="s">
        <v>41</v>
      </c>
      <c r="D62" s="66"/>
      <c r="E62" s="9"/>
      <c r="F62" s="9"/>
      <c r="G62" s="9"/>
      <c r="H62" s="9"/>
      <c r="I62" s="9"/>
    </row>
    <row r="63" spans="2:9" ht="11.25" customHeight="1">
      <c r="B63" s="9"/>
      <c r="C63" s="70"/>
      <c r="D63" s="70"/>
      <c r="E63" s="9"/>
      <c r="F63" s="69"/>
      <c r="G63" s="69"/>
      <c r="H63" s="10"/>
      <c r="I63" s="9"/>
    </row>
    <row r="64" spans="2:9" ht="12.75">
      <c r="B64" s="11"/>
      <c r="E64" s="11"/>
      <c r="F64" s="67"/>
      <c r="G64" s="68"/>
      <c r="H64" s="12"/>
      <c r="I64" s="11"/>
    </row>
    <row r="65" ht="12.75" hidden="1"/>
    <row r="70" spans="2:9" ht="11.25" customHeight="1">
      <c r="B70" s="9"/>
      <c r="C70" s="80"/>
      <c r="D70" s="80"/>
      <c r="E70" s="9"/>
      <c r="F70" s="69"/>
      <c r="G70" s="69"/>
      <c r="H70" s="10"/>
      <c r="I70" s="9"/>
    </row>
    <row r="71" spans="2:9" ht="12.75">
      <c r="B71" s="11"/>
      <c r="C71" s="79"/>
      <c r="D71" s="79"/>
      <c r="E71" s="11"/>
      <c r="F71" s="68"/>
      <c r="G71" s="68"/>
      <c r="H71" s="12"/>
      <c r="I71" s="11"/>
    </row>
    <row r="72" ht="12" customHeight="1"/>
  </sheetData>
  <sheetProtection/>
  <mergeCells count="24">
    <mergeCell ref="G6:I6"/>
    <mergeCell ref="B5:F5"/>
    <mergeCell ref="B6:F6"/>
    <mergeCell ref="F7:I7"/>
    <mergeCell ref="B3:I3"/>
    <mergeCell ref="G5:I5"/>
    <mergeCell ref="B10:I10"/>
    <mergeCell ref="B8:E8"/>
    <mergeCell ref="F70:G70"/>
    <mergeCell ref="C71:D71"/>
    <mergeCell ref="F71:G71"/>
    <mergeCell ref="C70:D70"/>
    <mergeCell ref="G8:G9"/>
    <mergeCell ref="F8:F9"/>
    <mergeCell ref="B2:I2"/>
    <mergeCell ref="D1:I1"/>
    <mergeCell ref="B1:C1"/>
    <mergeCell ref="C62:D62"/>
    <mergeCell ref="F64:G64"/>
    <mergeCell ref="F63:G63"/>
    <mergeCell ref="C63:D63"/>
    <mergeCell ref="B7:E7"/>
    <mergeCell ref="B9:E9"/>
    <mergeCell ref="B58:H58"/>
  </mergeCells>
  <printOptions/>
  <pageMargins left="0.7874015748031497" right="0.1968503937007874" top="0.3937007874015748" bottom="0.3937007874015748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5" zoomScaleNormal="125" zoomScalePageLayoutView="0" workbookViewId="0" topLeftCell="A1">
      <selection activeCell="G3" sqref="G3:I3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2.421875" style="1" customWidth="1"/>
    <col min="4" max="4" width="54.140625" style="1" customWidth="1"/>
    <col min="5" max="5" width="9.140625" style="1" customWidth="1"/>
    <col min="6" max="6" width="12.28125" style="1" customWidth="1"/>
    <col min="7" max="7" width="10.28125" style="1" customWidth="1"/>
    <col min="8" max="8" width="10.00390625" style="1" customWidth="1"/>
    <col min="9" max="9" width="10.851562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1:9" ht="20.25" customHeight="1">
      <c r="A1" s="105" t="s">
        <v>2</v>
      </c>
      <c r="B1" s="106"/>
      <c r="C1" s="106"/>
      <c r="D1" s="106"/>
      <c r="E1" s="106"/>
      <c r="F1" s="106"/>
      <c r="G1" s="106"/>
      <c r="H1" s="106"/>
      <c r="I1" s="106"/>
    </row>
    <row r="2" spans="1:9" ht="19.5" customHeight="1">
      <c r="A2" s="50"/>
      <c r="B2" s="103" t="s">
        <v>46</v>
      </c>
      <c r="C2" s="103"/>
      <c r="D2" s="103"/>
      <c r="E2" s="103"/>
      <c r="F2" s="103"/>
      <c r="G2" s="85" t="s">
        <v>30</v>
      </c>
      <c r="H2" s="85"/>
      <c r="I2" s="85"/>
    </row>
    <row r="3" spans="1:9" ht="19.5" customHeight="1">
      <c r="A3" s="50"/>
      <c r="B3" s="103" t="s">
        <v>128</v>
      </c>
      <c r="C3" s="103"/>
      <c r="D3" s="103"/>
      <c r="E3" s="103"/>
      <c r="F3" s="103"/>
      <c r="G3" s="85" t="s">
        <v>193</v>
      </c>
      <c r="H3" s="85"/>
      <c r="I3" s="85"/>
    </row>
    <row r="4" spans="1:9" ht="19.5" customHeight="1">
      <c r="A4" s="50"/>
      <c r="B4" s="85" t="s">
        <v>191</v>
      </c>
      <c r="C4" s="85"/>
      <c r="D4" s="85"/>
      <c r="E4" s="85"/>
      <c r="F4" s="104" t="s">
        <v>9</v>
      </c>
      <c r="G4" s="104"/>
      <c r="H4" s="104"/>
      <c r="I4" s="104"/>
    </row>
    <row r="5" spans="1:9" ht="19.5" customHeight="1">
      <c r="A5" s="50"/>
      <c r="B5" s="85" t="s">
        <v>43</v>
      </c>
      <c r="C5" s="85"/>
      <c r="D5" s="85"/>
      <c r="E5" s="85"/>
      <c r="F5" s="104" t="s">
        <v>6</v>
      </c>
      <c r="G5" s="85" t="s">
        <v>4</v>
      </c>
      <c r="H5" s="108" t="s">
        <v>31</v>
      </c>
      <c r="I5" s="110" t="s">
        <v>5</v>
      </c>
    </row>
    <row r="6" spans="1:9" ht="19.5" customHeight="1">
      <c r="A6" s="50"/>
      <c r="B6" s="107" t="s">
        <v>192</v>
      </c>
      <c r="C6" s="107"/>
      <c r="D6" s="107"/>
      <c r="E6" s="107"/>
      <c r="F6" s="104"/>
      <c r="G6" s="85"/>
      <c r="H6" s="109"/>
      <c r="I6" s="111"/>
    </row>
    <row r="7" spans="1:9" ht="38.25">
      <c r="A7" s="50"/>
      <c r="B7" s="15" t="s">
        <v>0</v>
      </c>
      <c r="C7" s="15" t="s">
        <v>3</v>
      </c>
      <c r="D7" s="15" t="s">
        <v>1</v>
      </c>
      <c r="E7" s="15" t="s">
        <v>35</v>
      </c>
      <c r="F7" s="61" t="s">
        <v>34</v>
      </c>
      <c r="G7" s="61" t="s">
        <v>10</v>
      </c>
      <c r="H7" s="16" t="s">
        <v>11</v>
      </c>
      <c r="I7" s="16" t="s">
        <v>8</v>
      </c>
    </row>
    <row r="8" spans="1:9" ht="12.75">
      <c r="A8" s="50"/>
      <c r="B8" s="17" t="s">
        <v>15</v>
      </c>
      <c r="C8" s="18"/>
      <c r="D8" s="19" t="s">
        <v>39</v>
      </c>
      <c r="E8" s="20"/>
      <c r="F8" s="60"/>
      <c r="G8" s="60"/>
      <c r="H8" s="57" t="s">
        <v>101</v>
      </c>
      <c r="I8" s="58">
        <v>0.25</v>
      </c>
    </row>
    <row r="9" spans="1:9" ht="12.75">
      <c r="A9" s="50"/>
      <c r="B9" s="22" t="s">
        <v>78</v>
      </c>
      <c r="C9" s="23" t="s">
        <v>12</v>
      </c>
      <c r="D9" s="24" t="s">
        <v>19</v>
      </c>
      <c r="E9" s="29" t="s">
        <v>98</v>
      </c>
      <c r="F9" s="60">
        <v>1</v>
      </c>
      <c r="G9" s="60"/>
      <c r="H9" s="21">
        <f>G9*(1+$I$8)</f>
        <v>0</v>
      </c>
      <c r="I9" s="21">
        <f>ROUND((F9*H9),2)</f>
        <v>0</v>
      </c>
    </row>
    <row r="10" spans="1:9" ht="22.5">
      <c r="A10" s="50"/>
      <c r="B10" s="22" t="s">
        <v>79</v>
      </c>
      <c r="C10" s="23" t="s">
        <v>135</v>
      </c>
      <c r="D10" s="28" t="s">
        <v>134</v>
      </c>
      <c r="E10" s="29" t="s">
        <v>132</v>
      </c>
      <c r="F10" s="60">
        <v>49</v>
      </c>
      <c r="G10" s="60"/>
      <c r="H10" s="21">
        <f>G10*(1+$I$8)</f>
        <v>0</v>
      </c>
      <c r="I10" s="21">
        <f>ROUND((F10*H10),2)</f>
        <v>0</v>
      </c>
    </row>
    <row r="11" spans="1:9" ht="12.75">
      <c r="A11" s="51" t="s">
        <v>133</v>
      </c>
      <c r="B11" s="22" t="s">
        <v>80</v>
      </c>
      <c r="C11" s="26" t="s">
        <v>131</v>
      </c>
      <c r="D11" s="27" t="s">
        <v>130</v>
      </c>
      <c r="E11" s="29" t="s">
        <v>132</v>
      </c>
      <c r="F11" s="60">
        <v>25</v>
      </c>
      <c r="G11" s="60"/>
      <c r="H11" s="21">
        <f>G11*(1+$I$8)</f>
        <v>0</v>
      </c>
      <c r="I11" s="21">
        <f>ROUND((F11*H11),2)</f>
        <v>0</v>
      </c>
    </row>
    <row r="12" spans="1:9" ht="12.75">
      <c r="A12" s="50"/>
      <c r="B12" s="30"/>
      <c r="C12" s="30"/>
      <c r="D12" s="31" t="s">
        <v>40</v>
      </c>
      <c r="E12" s="20"/>
      <c r="F12" s="60"/>
      <c r="G12" s="60"/>
      <c r="H12" s="21"/>
      <c r="I12" s="32">
        <f>SUM(I9:I11)</f>
        <v>0</v>
      </c>
    </row>
    <row r="13" spans="1:9" ht="12.75">
      <c r="A13" s="50"/>
      <c r="B13" s="17" t="s">
        <v>17</v>
      </c>
      <c r="C13" s="17"/>
      <c r="D13" s="19" t="s">
        <v>146</v>
      </c>
      <c r="E13" s="30"/>
      <c r="F13" s="60"/>
      <c r="G13" s="60"/>
      <c r="H13" s="21">
        <f aca="true" t="shared" si="0" ref="H13:H21">G13*(1+$I$8)</f>
        <v>0</v>
      </c>
      <c r="I13" s="21">
        <f>F13*H13</f>
        <v>0</v>
      </c>
    </row>
    <row r="14" spans="1:9" ht="12.75">
      <c r="A14" s="50"/>
      <c r="B14" s="22" t="s">
        <v>55</v>
      </c>
      <c r="C14" s="22" t="s">
        <v>137</v>
      </c>
      <c r="D14" s="28" t="s">
        <v>136</v>
      </c>
      <c r="E14" s="22" t="s">
        <v>54</v>
      </c>
      <c r="F14" s="60">
        <v>3.125</v>
      </c>
      <c r="G14" s="60"/>
      <c r="H14" s="21">
        <f t="shared" si="0"/>
        <v>0</v>
      </c>
      <c r="I14" s="21">
        <f aca="true" t="shared" si="1" ref="I14:I21">H14*F14</f>
        <v>0</v>
      </c>
    </row>
    <row r="15" spans="1:9" ht="12.75">
      <c r="A15" s="50"/>
      <c r="B15" s="22" t="s">
        <v>56</v>
      </c>
      <c r="C15" s="22" t="s">
        <v>139</v>
      </c>
      <c r="D15" s="28" t="s">
        <v>138</v>
      </c>
      <c r="E15" s="22" t="s">
        <v>73</v>
      </c>
      <c r="F15" s="60">
        <v>45</v>
      </c>
      <c r="G15" s="60"/>
      <c r="H15" s="21">
        <f t="shared" si="0"/>
        <v>0</v>
      </c>
      <c r="I15" s="21">
        <f t="shared" si="1"/>
        <v>0</v>
      </c>
    </row>
    <row r="16" spans="1:9" ht="45">
      <c r="A16" s="50"/>
      <c r="B16" s="22" t="s">
        <v>141</v>
      </c>
      <c r="C16" s="22" t="s">
        <v>140</v>
      </c>
      <c r="D16" s="28" t="s">
        <v>186</v>
      </c>
      <c r="E16" s="22" t="s">
        <v>54</v>
      </c>
      <c r="F16" s="60">
        <v>1.4130000000000003</v>
      </c>
      <c r="G16" s="60"/>
      <c r="H16" s="21">
        <f t="shared" si="0"/>
        <v>0</v>
      </c>
      <c r="I16" s="21">
        <f t="shared" si="1"/>
        <v>0</v>
      </c>
    </row>
    <row r="17" spans="1:9" ht="22.5">
      <c r="A17" s="50"/>
      <c r="B17" s="22" t="s">
        <v>142</v>
      </c>
      <c r="C17" s="22" t="s">
        <v>76</v>
      </c>
      <c r="D17" s="28" t="s">
        <v>187</v>
      </c>
      <c r="E17" s="22" t="s">
        <v>54</v>
      </c>
      <c r="F17" s="60">
        <v>0.3125</v>
      </c>
      <c r="G17" s="60"/>
      <c r="H17" s="21">
        <f t="shared" si="0"/>
        <v>0</v>
      </c>
      <c r="I17" s="21">
        <f t="shared" si="1"/>
        <v>0</v>
      </c>
    </row>
    <row r="18" spans="1:9" ht="22.5">
      <c r="A18" s="50"/>
      <c r="B18" s="22" t="s">
        <v>143</v>
      </c>
      <c r="C18" s="22" t="s">
        <v>155</v>
      </c>
      <c r="D18" s="28" t="s">
        <v>185</v>
      </c>
      <c r="E18" s="22" t="s">
        <v>132</v>
      </c>
      <c r="F18" s="60">
        <v>6</v>
      </c>
      <c r="G18" s="60"/>
      <c r="H18" s="21">
        <f t="shared" si="0"/>
        <v>0</v>
      </c>
      <c r="I18" s="21">
        <f t="shared" si="1"/>
        <v>0</v>
      </c>
    </row>
    <row r="19" spans="1:9" ht="33.75">
      <c r="A19" s="50"/>
      <c r="B19" s="22" t="s">
        <v>152</v>
      </c>
      <c r="C19" s="22" t="s">
        <v>140</v>
      </c>
      <c r="D19" s="28" t="s">
        <v>145</v>
      </c>
      <c r="E19" s="22" t="s">
        <v>54</v>
      </c>
      <c r="F19" s="60">
        <v>3.75</v>
      </c>
      <c r="G19" s="60"/>
      <c r="H19" s="21">
        <f t="shared" si="0"/>
        <v>0</v>
      </c>
      <c r="I19" s="21">
        <f t="shared" si="1"/>
        <v>0</v>
      </c>
    </row>
    <row r="20" spans="1:9" ht="22.5">
      <c r="A20" s="50"/>
      <c r="B20" s="22" t="s">
        <v>156</v>
      </c>
      <c r="C20" s="22" t="s">
        <v>147</v>
      </c>
      <c r="D20" s="28" t="s">
        <v>151</v>
      </c>
      <c r="E20" s="22" t="s">
        <v>148</v>
      </c>
      <c r="F20" s="60">
        <v>231</v>
      </c>
      <c r="G20" s="60"/>
      <c r="H20" s="21">
        <f t="shared" si="0"/>
        <v>0</v>
      </c>
      <c r="I20" s="21">
        <f t="shared" si="1"/>
        <v>0</v>
      </c>
    </row>
    <row r="21" spans="1:9" ht="22.5">
      <c r="A21" s="50"/>
      <c r="B21" s="22" t="s">
        <v>157</v>
      </c>
      <c r="C21" s="22" t="s">
        <v>149</v>
      </c>
      <c r="D21" s="28" t="s">
        <v>150</v>
      </c>
      <c r="E21" s="22" t="s">
        <v>148</v>
      </c>
      <c r="F21" s="60">
        <v>22.79</v>
      </c>
      <c r="G21" s="60"/>
      <c r="H21" s="21">
        <f t="shared" si="0"/>
        <v>0</v>
      </c>
      <c r="I21" s="21">
        <f t="shared" si="1"/>
        <v>0</v>
      </c>
    </row>
    <row r="22" spans="1:9" ht="12.75">
      <c r="A22" s="50"/>
      <c r="B22" s="30"/>
      <c r="C22" s="30"/>
      <c r="D22" s="31" t="s">
        <v>40</v>
      </c>
      <c r="E22" s="20"/>
      <c r="F22" s="60"/>
      <c r="G22" s="60"/>
      <c r="H22" s="21"/>
      <c r="I22" s="32">
        <f>SUM(I14:I21)</f>
        <v>0</v>
      </c>
    </row>
    <row r="23" spans="1:9" ht="12.75">
      <c r="A23" s="50"/>
      <c r="B23" s="49" t="s">
        <v>57</v>
      </c>
      <c r="C23" s="17"/>
      <c r="D23" s="19" t="s">
        <v>158</v>
      </c>
      <c r="E23" s="30"/>
      <c r="F23" s="60"/>
      <c r="G23" s="60"/>
      <c r="H23" s="21">
        <f aca="true" t="shared" si="2" ref="H23:H31">G23*(1+$I$8)</f>
        <v>0</v>
      </c>
      <c r="I23" s="21">
        <f>F23*H23</f>
        <v>0</v>
      </c>
    </row>
    <row r="24" spans="1:9" ht="12.75">
      <c r="A24" s="50"/>
      <c r="B24" s="22" t="s">
        <v>58</v>
      </c>
      <c r="C24" s="22" t="s">
        <v>137</v>
      </c>
      <c r="D24" s="28" t="s">
        <v>136</v>
      </c>
      <c r="E24" s="22" t="s">
        <v>54</v>
      </c>
      <c r="F24" s="60">
        <v>3.125</v>
      </c>
      <c r="G24" s="60"/>
      <c r="H24" s="21">
        <f t="shared" si="2"/>
        <v>0</v>
      </c>
      <c r="I24" s="21">
        <f aca="true" t="shared" si="3" ref="I24:I31">H24*F24</f>
        <v>0</v>
      </c>
    </row>
    <row r="25" spans="1:9" ht="12.75">
      <c r="A25" s="50"/>
      <c r="B25" s="22" t="s">
        <v>60</v>
      </c>
      <c r="C25" s="22" t="s">
        <v>139</v>
      </c>
      <c r="D25" s="28" t="s">
        <v>138</v>
      </c>
      <c r="E25" s="22" t="s">
        <v>73</v>
      </c>
      <c r="F25" s="60">
        <v>45</v>
      </c>
      <c r="G25" s="60"/>
      <c r="H25" s="21">
        <f t="shared" si="2"/>
        <v>0</v>
      </c>
      <c r="I25" s="21">
        <f t="shared" si="3"/>
        <v>0</v>
      </c>
    </row>
    <row r="26" spans="1:9" ht="33.75">
      <c r="A26" s="50"/>
      <c r="B26" s="22" t="s">
        <v>164</v>
      </c>
      <c r="C26" s="22" t="s">
        <v>140</v>
      </c>
      <c r="D26" s="28" t="s">
        <v>144</v>
      </c>
      <c r="E26" s="22" t="s">
        <v>54</v>
      </c>
      <c r="F26" s="60">
        <v>1.4130000000000003</v>
      </c>
      <c r="G26" s="60"/>
      <c r="H26" s="21">
        <f t="shared" si="2"/>
        <v>0</v>
      </c>
      <c r="I26" s="21">
        <f t="shared" si="3"/>
        <v>0</v>
      </c>
    </row>
    <row r="27" spans="1:9" ht="22.5">
      <c r="A27" s="50"/>
      <c r="B27" s="22" t="s">
        <v>165</v>
      </c>
      <c r="C27" s="22" t="s">
        <v>76</v>
      </c>
      <c r="D27" s="28" t="s">
        <v>153</v>
      </c>
      <c r="E27" s="22" t="s">
        <v>54</v>
      </c>
      <c r="F27" s="60">
        <v>0.3125</v>
      </c>
      <c r="G27" s="60"/>
      <c r="H27" s="21">
        <f t="shared" si="2"/>
        <v>0</v>
      </c>
      <c r="I27" s="21">
        <f t="shared" si="3"/>
        <v>0</v>
      </c>
    </row>
    <row r="28" spans="1:9" ht="22.5">
      <c r="A28" s="50"/>
      <c r="B28" s="22" t="s">
        <v>166</v>
      </c>
      <c r="C28" s="22" t="s">
        <v>155</v>
      </c>
      <c r="D28" s="28" t="s">
        <v>154</v>
      </c>
      <c r="E28" s="22" t="s">
        <v>132</v>
      </c>
      <c r="F28" s="60">
        <v>6</v>
      </c>
      <c r="G28" s="60"/>
      <c r="H28" s="21">
        <f t="shared" si="2"/>
        <v>0</v>
      </c>
      <c r="I28" s="21">
        <f t="shared" si="3"/>
        <v>0</v>
      </c>
    </row>
    <row r="29" spans="1:9" ht="33.75">
      <c r="A29" s="50"/>
      <c r="B29" s="22" t="s">
        <v>167</v>
      </c>
      <c r="C29" s="22" t="s">
        <v>140</v>
      </c>
      <c r="D29" s="28" t="s">
        <v>145</v>
      </c>
      <c r="E29" s="22" t="s">
        <v>54</v>
      </c>
      <c r="F29" s="60">
        <v>3.75</v>
      </c>
      <c r="G29" s="60"/>
      <c r="H29" s="21">
        <f t="shared" si="2"/>
        <v>0</v>
      </c>
      <c r="I29" s="21">
        <f t="shared" si="3"/>
        <v>0</v>
      </c>
    </row>
    <row r="30" spans="1:9" ht="22.5">
      <c r="A30" s="50"/>
      <c r="B30" s="22" t="s">
        <v>168</v>
      </c>
      <c r="C30" s="22" t="s">
        <v>147</v>
      </c>
      <c r="D30" s="28" t="s">
        <v>151</v>
      </c>
      <c r="E30" s="22" t="s">
        <v>148</v>
      </c>
      <c r="F30" s="60">
        <v>231</v>
      </c>
      <c r="G30" s="60"/>
      <c r="H30" s="21">
        <f t="shared" si="2"/>
        <v>0</v>
      </c>
      <c r="I30" s="21">
        <f t="shared" si="3"/>
        <v>0</v>
      </c>
    </row>
    <row r="31" spans="1:9" ht="22.5">
      <c r="A31" s="50"/>
      <c r="B31" s="22" t="s">
        <v>169</v>
      </c>
      <c r="C31" s="22" t="s">
        <v>149</v>
      </c>
      <c r="D31" s="28" t="s">
        <v>150</v>
      </c>
      <c r="E31" s="22" t="s">
        <v>148</v>
      </c>
      <c r="F31" s="60">
        <v>22.79</v>
      </c>
      <c r="G31" s="60"/>
      <c r="H31" s="21">
        <f t="shared" si="2"/>
        <v>0</v>
      </c>
      <c r="I31" s="21">
        <f t="shared" si="3"/>
        <v>0</v>
      </c>
    </row>
    <row r="32" spans="1:9" ht="12.75">
      <c r="A32" s="50"/>
      <c r="B32" s="30"/>
      <c r="C32" s="30"/>
      <c r="D32" s="31" t="s">
        <v>40</v>
      </c>
      <c r="E32" s="20"/>
      <c r="F32" s="60"/>
      <c r="G32" s="60"/>
      <c r="H32" s="21"/>
      <c r="I32" s="32">
        <f>SUM(I24:I31)</f>
        <v>0</v>
      </c>
    </row>
    <row r="33" spans="1:9" ht="12.75">
      <c r="A33" s="50"/>
      <c r="B33" s="49" t="s">
        <v>133</v>
      </c>
      <c r="C33" s="17"/>
      <c r="D33" s="19" t="s">
        <v>159</v>
      </c>
      <c r="E33" s="30"/>
      <c r="F33" s="60"/>
      <c r="G33" s="60"/>
      <c r="H33" s="21">
        <f aca="true" t="shared" si="4" ref="H33:H41">G33*(1+$I$8)</f>
        <v>0</v>
      </c>
      <c r="I33" s="21">
        <f>F33*H33</f>
        <v>0</v>
      </c>
    </row>
    <row r="34" spans="1:9" ht="12.75" customHeight="1">
      <c r="A34" s="50"/>
      <c r="B34" s="19" t="s">
        <v>81</v>
      </c>
      <c r="C34" s="22" t="s">
        <v>137</v>
      </c>
      <c r="D34" s="28" t="s">
        <v>136</v>
      </c>
      <c r="E34" s="22" t="s">
        <v>54</v>
      </c>
      <c r="F34" s="60">
        <v>3.125</v>
      </c>
      <c r="G34" s="60"/>
      <c r="H34" s="21">
        <f t="shared" si="4"/>
        <v>0</v>
      </c>
      <c r="I34" s="21">
        <f aca="true" t="shared" si="5" ref="I34:I41">H34*F34</f>
        <v>0</v>
      </c>
    </row>
    <row r="35" spans="1:9" ht="12.75">
      <c r="A35" s="50"/>
      <c r="B35" s="22" t="s">
        <v>59</v>
      </c>
      <c r="C35" s="22" t="s">
        <v>139</v>
      </c>
      <c r="D35" s="28" t="s">
        <v>138</v>
      </c>
      <c r="E35" s="22" t="s">
        <v>73</v>
      </c>
      <c r="F35" s="60">
        <v>45</v>
      </c>
      <c r="G35" s="60"/>
      <c r="H35" s="21">
        <f t="shared" si="4"/>
        <v>0</v>
      </c>
      <c r="I35" s="21">
        <f t="shared" si="5"/>
        <v>0</v>
      </c>
    </row>
    <row r="36" spans="1:9" ht="33.75">
      <c r="A36" s="50"/>
      <c r="B36" s="22" t="s">
        <v>82</v>
      </c>
      <c r="C36" s="22" t="s">
        <v>140</v>
      </c>
      <c r="D36" s="28" t="s">
        <v>144</v>
      </c>
      <c r="E36" s="22" t="s">
        <v>54</v>
      </c>
      <c r="F36" s="60">
        <v>1.4130000000000003</v>
      </c>
      <c r="G36" s="60"/>
      <c r="H36" s="21">
        <f t="shared" si="4"/>
        <v>0</v>
      </c>
      <c r="I36" s="21">
        <f t="shared" si="5"/>
        <v>0</v>
      </c>
    </row>
    <row r="37" spans="1:9" ht="22.5">
      <c r="A37" s="50"/>
      <c r="B37" s="22" t="s">
        <v>83</v>
      </c>
      <c r="C37" s="22" t="s">
        <v>76</v>
      </c>
      <c r="D37" s="28" t="s">
        <v>153</v>
      </c>
      <c r="E37" s="22" t="s">
        <v>54</v>
      </c>
      <c r="F37" s="60">
        <v>0.3125</v>
      </c>
      <c r="G37" s="60"/>
      <c r="H37" s="21">
        <f t="shared" si="4"/>
        <v>0</v>
      </c>
      <c r="I37" s="21">
        <f t="shared" si="5"/>
        <v>0</v>
      </c>
    </row>
    <row r="38" spans="1:9" ht="22.5">
      <c r="A38" s="50"/>
      <c r="B38" s="22" t="s">
        <v>170</v>
      </c>
      <c r="C38" s="22" t="s">
        <v>155</v>
      </c>
      <c r="D38" s="28" t="s">
        <v>163</v>
      </c>
      <c r="E38" s="22" t="s">
        <v>132</v>
      </c>
      <c r="F38" s="60">
        <v>6</v>
      </c>
      <c r="G38" s="60"/>
      <c r="H38" s="21">
        <f t="shared" si="4"/>
        <v>0</v>
      </c>
      <c r="I38" s="21">
        <f t="shared" si="5"/>
        <v>0</v>
      </c>
    </row>
    <row r="39" spans="1:9" ht="33.75">
      <c r="A39" s="50"/>
      <c r="B39" s="22" t="s">
        <v>171</v>
      </c>
      <c r="C39" s="22" t="s">
        <v>140</v>
      </c>
      <c r="D39" s="28" t="s">
        <v>145</v>
      </c>
      <c r="E39" s="22" t="s">
        <v>54</v>
      </c>
      <c r="F39" s="60">
        <v>3.75</v>
      </c>
      <c r="G39" s="60"/>
      <c r="H39" s="21">
        <f t="shared" si="4"/>
        <v>0</v>
      </c>
      <c r="I39" s="21">
        <f t="shared" si="5"/>
        <v>0</v>
      </c>
    </row>
    <row r="40" spans="1:9" ht="22.5">
      <c r="A40" s="50"/>
      <c r="B40" s="22" t="s">
        <v>172</v>
      </c>
      <c r="C40" s="22" t="s">
        <v>147</v>
      </c>
      <c r="D40" s="28" t="s">
        <v>151</v>
      </c>
      <c r="E40" s="22" t="s">
        <v>148</v>
      </c>
      <c r="F40" s="60">
        <v>231</v>
      </c>
      <c r="G40" s="60"/>
      <c r="H40" s="21">
        <f t="shared" si="4"/>
        <v>0</v>
      </c>
      <c r="I40" s="21">
        <f t="shared" si="5"/>
        <v>0</v>
      </c>
    </row>
    <row r="41" spans="1:9" ht="22.5">
      <c r="A41" s="50"/>
      <c r="B41" s="22" t="s">
        <v>173</v>
      </c>
      <c r="C41" s="22" t="s">
        <v>149</v>
      </c>
      <c r="D41" s="28" t="s">
        <v>150</v>
      </c>
      <c r="E41" s="22" t="s">
        <v>148</v>
      </c>
      <c r="F41" s="60">
        <v>22.79</v>
      </c>
      <c r="G41" s="60"/>
      <c r="H41" s="21">
        <f t="shared" si="4"/>
        <v>0</v>
      </c>
      <c r="I41" s="21">
        <f t="shared" si="5"/>
        <v>0</v>
      </c>
    </row>
    <row r="42" spans="1:9" ht="12.75">
      <c r="A42" s="50"/>
      <c r="B42" s="30"/>
      <c r="C42" s="30"/>
      <c r="D42" s="31" t="s">
        <v>40</v>
      </c>
      <c r="E42" s="20"/>
      <c r="F42" s="60"/>
      <c r="G42" s="60"/>
      <c r="H42" s="21"/>
      <c r="I42" s="32">
        <f>SUM(I34:I41)</f>
        <v>0</v>
      </c>
    </row>
    <row r="43" spans="1:9" ht="12.75">
      <c r="A43" s="50"/>
      <c r="B43" s="49" t="s">
        <v>84</v>
      </c>
      <c r="C43" s="17"/>
      <c r="D43" s="19" t="s">
        <v>160</v>
      </c>
      <c r="E43" s="30"/>
      <c r="F43" s="60"/>
      <c r="G43" s="60"/>
      <c r="H43" s="21">
        <f aca="true" t="shared" si="6" ref="H43:H51">G43*(1+$I$8)</f>
        <v>0</v>
      </c>
      <c r="I43" s="21">
        <f>F43*H43</f>
        <v>0</v>
      </c>
    </row>
    <row r="44" spans="1:9" ht="12.75">
      <c r="A44" s="50"/>
      <c r="B44" s="22" t="s">
        <v>85</v>
      </c>
      <c r="C44" s="22" t="s">
        <v>137</v>
      </c>
      <c r="D44" s="28" t="s">
        <v>136</v>
      </c>
      <c r="E44" s="22" t="s">
        <v>54</v>
      </c>
      <c r="F44" s="60">
        <v>3.125</v>
      </c>
      <c r="G44" s="60"/>
      <c r="H44" s="21">
        <f t="shared" si="6"/>
        <v>0</v>
      </c>
      <c r="I44" s="21">
        <f aca="true" t="shared" si="7" ref="I44:I51">H44*F44</f>
        <v>0</v>
      </c>
    </row>
    <row r="45" spans="1:9" ht="12.75">
      <c r="A45" s="50"/>
      <c r="B45" s="22" t="s">
        <v>86</v>
      </c>
      <c r="C45" s="22" t="s">
        <v>139</v>
      </c>
      <c r="D45" s="28" t="s">
        <v>138</v>
      </c>
      <c r="E45" s="22" t="s">
        <v>73</v>
      </c>
      <c r="F45" s="60">
        <v>45</v>
      </c>
      <c r="G45" s="60"/>
      <c r="H45" s="21">
        <f t="shared" si="6"/>
        <v>0</v>
      </c>
      <c r="I45" s="21">
        <f t="shared" si="7"/>
        <v>0</v>
      </c>
    </row>
    <row r="46" spans="1:9" ht="33.75">
      <c r="A46" s="50"/>
      <c r="B46" s="22" t="s">
        <v>87</v>
      </c>
      <c r="C46" s="22" t="s">
        <v>140</v>
      </c>
      <c r="D46" s="28" t="s">
        <v>144</v>
      </c>
      <c r="E46" s="22" t="s">
        <v>54</v>
      </c>
      <c r="F46" s="60">
        <v>1.4130000000000003</v>
      </c>
      <c r="G46" s="60"/>
      <c r="H46" s="21">
        <f t="shared" si="6"/>
        <v>0</v>
      </c>
      <c r="I46" s="21">
        <f t="shared" si="7"/>
        <v>0</v>
      </c>
    </row>
    <row r="47" spans="1:9" ht="22.5">
      <c r="A47" s="50"/>
      <c r="B47" s="22" t="s">
        <v>88</v>
      </c>
      <c r="C47" s="22" t="s">
        <v>76</v>
      </c>
      <c r="D47" s="28" t="s">
        <v>153</v>
      </c>
      <c r="E47" s="22" t="s">
        <v>54</v>
      </c>
      <c r="F47" s="60">
        <v>0.3125</v>
      </c>
      <c r="G47" s="60"/>
      <c r="H47" s="21">
        <f t="shared" si="6"/>
        <v>0</v>
      </c>
      <c r="I47" s="21">
        <f t="shared" si="7"/>
        <v>0</v>
      </c>
    </row>
    <row r="48" spans="1:9" ht="22.5">
      <c r="A48" s="50"/>
      <c r="B48" s="22" t="s">
        <v>174</v>
      </c>
      <c r="C48" s="22" t="s">
        <v>155</v>
      </c>
      <c r="D48" s="28" t="s">
        <v>154</v>
      </c>
      <c r="E48" s="22" t="s">
        <v>132</v>
      </c>
      <c r="F48" s="60">
        <v>6</v>
      </c>
      <c r="G48" s="60"/>
      <c r="H48" s="21">
        <f t="shared" si="6"/>
        <v>0</v>
      </c>
      <c r="I48" s="21">
        <f t="shared" si="7"/>
        <v>0</v>
      </c>
    </row>
    <row r="49" spans="1:9" ht="33.75">
      <c r="A49" s="50"/>
      <c r="B49" s="22" t="s">
        <v>175</v>
      </c>
      <c r="C49" s="22" t="s">
        <v>140</v>
      </c>
      <c r="D49" s="28" t="s">
        <v>145</v>
      </c>
      <c r="E49" s="22" t="s">
        <v>54</v>
      </c>
      <c r="F49" s="60">
        <v>3.75</v>
      </c>
      <c r="G49" s="60"/>
      <c r="H49" s="21">
        <f t="shared" si="6"/>
        <v>0</v>
      </c>
      <c r="I49" s="21">
        <f t="shared" si="7"/>
        <v>0</v>
      </c>
    </row>
    <row r="50" spans="1:9" ht="22.5">
      <c r="A50" s="50"/>
      <c r="B50" s="22" t="s">
        <v>176</v>
      </c>
      <c r="C50" s="22" t="s">
        <v>147</v>
      </c>
      <c r="D50" s="28" t="s">
        <v>151</v>
      </c>
      <c r="E50" s="22" t="s">
        <v>148</v>
      </c>
      <c r="F50" s="60">
        <v>231</v>
      </c>
      <c r="G50" s="60"/>
      <c r="H50" s="21">
        <f t="shared" si="6"/>
        <v>0</v>
      </c>
      <c r="I50" s="21">
        <f t="shared" si="7"/>
        <v>0</v>
      </c>
    </row>
    <row r="51" spans="1:9" ht="22.5">
      <c r="A51" s="50"/>
      <c r="B51" s="22" t="s">
        <v>177</v>
      </c>
      <c r="C51" s="22" t="s">
        <v>149</v>
      </c>
      <c r="D51" s="28" t="s">
        <v>150</v>
      </c>
      <c r="E51" s="22" t="s">
        <v>148</v>
      </c>
      <c r="F51" s="60">
        <v>22.79</v>
      </c>
      <c r="G51" s="60"/>
      <c r="H51" s="21">
        <f t="shared" si="6"/>
        <v>0</v>
      </c>
      <c r="I51" s="21">
        <f t="shared" si="7"/>
        <v>0</v>
      </c>
    </row>
    <row r="52" spans="1:9" ht="12.75">
      <c r="A52" s="50"/>
      <c r="B52" s="30"/>
      <c r="C52" s="30"/>
      <c r="D52" s="31" t="s">
        <v>40</v>
      </c>
      <c r="E52" s="20"/>
      <c r="F52" s="60"/>
      <c r="G52" s="60"/>
      <c r="H52" s="21"/>
      <c r="I52" s="32">
        <f>SUM(I44:I51)</f>
        <v>0</v>
      </c>
    </row>
    <row r="53" spans="1:9" ht="12.75">
      <c r="A53" s="50"/>
      <c r="B53" s="49" t="s">
        <v>89</v>
      </c>
      <c r="C53" s="17"/>
      <c r="D53" s="19" t="s">
        <v>161</v>
      </c>
      <c r="E53" s="30"/>
      <c r="F53" s="60"/>
      <c r="G53" s="60"/>
      <c r="H53" s="21"/>
      <c r="I53" s="21"/>
    </row>
    <row r="54" spans="1:9" ht="12.75">
      <c r="A54" s="50"/>
      <c r="B54" s="22" t="s">
        <v>90</v>
      </c>
      <c r="C54" s="22" t="s">
        <v>162</v>
      </c>
      <c r="D54" s="28" t="s">
        <v>189</v>
      </c>
      <c r="E54" s="22" t="s">
        <v>190</v>
      </c>
      <c r="F54" s="60">
        <v>570</v>
      </c>
      <c r="G54" s="60"/>
      <c r="H54" s="21">
        <f>G54*(1+$I$8)</f>
        <v>0</v>
      </c>
      <c r="I54" s="21">
        <f>H54*F54</f>
        <v>0</v>
      </c>
    </row>
    <row r="55" spans="1:9" ht="12.75">
      <c r="A55" s="50"/>
      <c r="B55" s="22" t="s">
        <v>178</v>
      </c>
      <c r="C55" s="22" t="s">
        <v>162</v>
      </c>
      <c r="D55" s="28" t="s">
        <v>188</v>
      </c>
      <c r="E55" s="22" t="s">
        <v>98</v>
      </c>
      <c r="F55" s="60">
        <v>2</v>
      </c>
      <c r="G55" s="60"/>
      <c r="H55" s="21">
        <f>G55*(1+$I$8)</f>
        <v>0</v>
      </c>
      <c r="I55" s="21">
        <f>H55*F55</f>
        <v>0</v>
      </c>
    </row>
    <row r="56" spans="1:9" ht="12.75">
      <c r="A56" s="50"/>
      <c r="B56" s="30"/>
      <c r="C56" s="30"/>
      <c r="D56" s="31" t="s">
        <v>40</v>
      </c>
      <c r="E56" s="20"/>
      <c r="F56" s="21"/>
      <c r="G56" s="25"/>
      <c r="H56" s="21"/>
      <c r="I56" s="32">
        <f>SUM(I54:I55)</f>
        <v>0</v>
      </c>
    </row>
    <row r="57" spans="1:9" ht="12.75">
      <c r="A57" s="50"/>
      <c r="B57" s="77" t="s">
        <v>13</v>
      </c>
      <c r="C57" s="77"/>
      <c r="D57" s="77"/>
      <c r="E57" s="77"/>
      <c r="F57" s="77"/>
      <c r="G57" s="77"/>
      <c r="H57" s="77"/>
      <c r="I57" s="48">
        <f>SUM(I9:I56)/2</f>
        <v>0</v>
      </c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</sheetData>
  <sheetProtection/>
  <mergeCells count="14">
    <mergeCell ref="A1:I1"/>
    <mergeCell ref="B6:E6"/>
    <mergeCell ref="B2:F2"/>
    <mergeCell ref="G2:I2"/>
    <mergeCell ref="H5:H6"/>
    <mergeCell ref="I5:I6"/>
    <mergeCell ref="B57:H57"/>
    <mergeCell ref="B3:F3"/>
    <mergeCell ref="G3:I3"/>
    <mergeCell ref="B4:E4"/>
    <mergeCell ref="F4:I4"/>
    <mergeCell ref="B5:E5"/>
    <mergeCell ref="F5:F6"/>
    <mergeCell ref="G5:G6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5" zoomScaleNormal="125" zoomScalePageLayoutView="0" workbookViewId="0" topLeftCell="A1">
      <selection activeCell="A1" sqref="A1:J1"/>
    </sheetView>
  </sheetViews>
  <sheetFormatPr defaultColWidth="9.140625" defaultRowHeight="12.75"/>
  <cols>
    <col min="1" max="1" width="5.28125" style="1" customWidth="1"/>
    <col min="2" max="2" width="20.140625" style="1" bestFit="1" customWidth="1"/>
    <col min="3" max="3" width="9.140625" style="1" customWidth="1"/>
    <col min="4" max="4" width="12.28125" style="1" customWidth="1"/>
    <col min="5" max="5" width="10.8515625" style="1" customWidth="1"/>
    <col min="9" max="9" width="9.140625" style="1" customWidth="1"/>
    <col min="10" max="10" width="10.140625" style="1" bestFit="1" customWidth="1"/>
    <col min="11" max="16384" width="9.140625" style="1" customWidth="1"/>
  </cols>
  <sheetData>
    <row r="1" spans="1:10" ht="19.5" customHeight="1">
      <c r="A1" s="103" t="s">
        <v>194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9.5" customHeight="1">
      <c r="A2" s="86" t="s">
        <v>129</v>
      </c>
      <c r="B2" s="72"/>
      <c r="C2" s="72"/>
      <c r="D2" s="112"/>
      <c r="E2" s="112"/>
      <c r="F2" s="112"/>
      <c r="G2" s="112"/>
      <c r="H2" s="112"/>
      <c r="I2" s="112"/>
      <c r="J2" s="113"/>
    </row>
    <row r="3" spans="1:10" ht="19.5" customHeight="1">
      <c r="A3" s="107" t="s">
        <v>192</v>
      </c>
      <c r="B3" s="107"/>
      <c r="C3" s="107"/>
      <c r="D3" s="104" t="s">
        <v>180</v>
      </c>
      <c r="E3" s="114"/>
      <c r="F3" s="104" t="s">
        <v>182</v>
      </c>
      <c r="G3" s="114"/>
      <c r="H3" s="104" t="s">
        <v>183</v>
      </c>
      <c r="I3" s="114"/>
      <c r="J3" s="15" t="s">
        <v>184</v>
      </c>
    </row>
    <row r="4" spans="1:10" ht="12.75">
      <c r="A4" s="15" t="s">
        <v>0</v>
      </c>
      <c r="B4" s="15" t="s">
        <v>1</v>
      </c>
      <c r="C4" s="15" t="s">
        <v>179</v>
      </c>
      <c r="D4" s="15" t="s">
        <v>181</v>
      </c>
      <c r="E4" s="16" t="s">
        <v>49</v>
      </c>
      <c r="F4" s="15" t="s">
        <v>181</v>
      </c>
      <c r="G4" s="16" t="s">
        <v>49</v>
      </c>
      <c r="H4" s="15" t="s">
        <v>181</v>
      </c>
      <c r="I4" s="16" t="s">
        <v>49</v>
      </c>
      <c r="J4" s="15" t="s">
        <v>181</v>
      </c>
    </row>
    <row r="5" spans="1:10" ht="22.5">
      <c r="A5" s="17">
        <v>1</v>
      </c>
      <c r="B5" s="52" t="s">
        <v>39</v>
      </c>
      <c r="C5" s="59">
        <f>+PLanilha!I12</f>
        <v>0</v>
      </c>
      <c r="D5" s="54"/>
      <c r="E5" s="53">
        <f>+$C5*D5</f>
        <v>0</v>
      </c>
      <c r="F5" s="54"/>
      <c r="G5" s="53">
        <f>+$C5*F5</f>
        <v>0</v>
      </c>
      <c r="H5" s="54"/>
      <c r="I5" s="53">
        <f aca="true" t="shared" si="0" ref="I5:I10">+$C5*H5</f>
        <v>0</v>
      </c>
      <c r="J5" s="54">
        <f aca="true" t="shared" si="1" ref="J5:J10">+D5+F5+H5</f>
        <v>0</v>
      </c>
    </row>
    <row r="6" spans="1:10" ht="12.75">
      <c r="A6" s="17">
        <v>2</v>
      </c>
      <c r="B6" s="52" t="s">
        <v>146</v>
      </c>
      <c r="C6" s="59">
        <f>+PLanilha!I22</f>
        <v>0</v>
      </c>
      <c r="D6" s="54"/>
      <c r="E6" s="53">
        <f aca="true" t="shared" si="2" ref="E6:G10">+$C6*D6</f>
        <v>0</v>
      </c>
      <c r="F6" s="54"/>
      <c r="G6" s="53">
        <f t="shared" si="2"/>
        <v>0</v>
      </c>
      <c r="H6" s="54"/>
      <c r="I6" s="53">
        <f t="shared" si="0"/>
        <v>0</v>
      </c>
      <c r="J6" s="54">
        <f t="shared" si="1"/>
        <v>0</v>
      </c>
    </row>
    <row r="7" spans="1:10" ht="12.75">
      <c r="A7" s="17">
        <v>3</v>
      </c>
      <c r="B7" s="52" t="s">
        <v>158</v>
      </c>
      <c r="C7" s="59">
        <f>+C6</f>
        <v>0</v>
      </c>
      <c r="D7" s="54"/>
      <c r="E7" s="53">
        <f t="shared" si="2"/>
        <v>0</v>
      </c>
      <c r="F7" s="54"/>
      <c r="G7" s="53">
        <f t="shared" si="2"/>
        <v>0</v>
      </c>
      <c r="H7" s="54"/>
      <c r="I7" s="53">
        <f t="shared" si="0"/>
        <v>0</v>
      </c>
      <c r="J7" s="54">
        <f t="shared" si="1"/>
        <v>0</v>
      </c>
    </row>
    <row r="8" spans="1:10" ht="12.75">
      <c r="A8" s="17">
        <v>4</v>
      </c>
      <c r="B8" s="52" t="s">
        <v>159</v>
      </c>
      <c r="C8" s="59">
        <f>+C7</f>
        <v>0</v>
      </c>
      <c r="D8" s="54"/>
      <c r="E8" s="53">
        <f t="shared" si="2"/>
        <v>0</v>
      </c>
      <c r="F8" s="54"/>
      <c r="G8" s="53">
        <f t="shared" si="2"/>
        <v>0</v>
      </c>
      <c r="H8" s="54"/>
      <c r="I8" s="53">
        <f t="shared" si="0"/>
        <v>0</v>
      </c>
      <c r="J8" s="54">
        <f t="shared" si="1"/>
        <v>0</v>
      </c>
    </row>
    <row r="9" spans="1:10" ht="12.75">
      <c r="A9" s="17">
        <v>5</v>
      </c>
      <c r="B9" s="52" t="s">
        <v>160</v>
      </c>
      <c r="C9" s="59">
        <f>+C8</f>
        <v>0</v>
      </c>
      <c r="D9" s="54"/>
      <c r="E9" s="53">
        <f t="shared" si="2"/>
        <v>0</v>
      </c>
      <c r="F9" s="54"/>
      <c r="G9" s="53">
        <f t="shared" si="2"/>
        <v>0</v>
      </c>
      <c r="H9" s="54"/>
      <c r="I9" s="53">
        <f t="shared" si="0"/>
        <v>0</v>
      </c>
      <c r="J9" s="54">
        <f t="shared" si="1"/>
        <v>0</v>
      </c>
    </row>
    <row r="10" spans="1:10" ht="12.75">
      <c r="A10" s="17">
        <v>6</v>
      </c>
      <c r="B10" s="52" t="s">
        <v>161</v>
      </c>
      <c r="C10" s="59">
        <f>+PLanilha!I56</f>
        <v>0</v>
      </c>
      <c r="D10" s="54"/>
      <c r="E10" s="53">
        <f t="shared" si="2"/>
        <v>0</v>
      </c>
      <c r="F10" s="54"/>
      <c r="G10" s="53">
        <f t="shared" si="2"/>
        <v>0</v>
      </c>
      <c r="H10" s="54"/>
      <c r="I10" s="53">
        <f t="shared" si="0"/>
        <v>0</v>
      </c>
      <c r="J10" s="54">
        <f t="shared" si="1"/>
        <v>0</v>
      </c>
    </row>
    <row r="11" spans="1:10" ht="12.75">
      <c r="A11" s="31"/>
      <c r="B11" s="31"/>
      <c r="C11" s="55">
        <f>SUM(C5:C10)</f>
        <v>0</v>
      </c>
      <c r="D11" s="31"/>
      <c r="E11" s="55">
        <f>SUM(E5:E10)</f>
        <v>0</v>
      </c>
      <c r="F11" s="31"/>
      <c r="G11" s="55">
        <f>SUM(G5:G10)</f>
        <v>0</v>
      </c>
      <c r="H11" s="31"/>
      <c r="I11" s="55">
        <f>SUM(I5:I10)</f>
        <v>0</v>
      </c>
      <c r="J11" s="56">
        <f>+E11+G11+I11</f>
        <v>0</v>
      </c>
    </row>
    <row r="15" spans="6:8" ht="12.75">
      <c r="F15" s="1"/>
      <c r="G15" s="1"/>
      <c r="H15" s="1"/>
    </row>
    <row r="16" spans="6:8" ht="12.75">
      <c r="F16" s="1"/>
      <c r="G16" s="1"/>
      <c r="H16" s="1"/>
    </row>
    <row r="17" spans="6:8" ht="12.75">
      <c r="F17" s="1"/>
      <c r="G17" s="1"/>
      <c r="H17" s="1"/>
    </row>
    <row r="18" spans="6:8" ht="12.75">
      <c r="F18" s="1"/>
      <c r="G18" s="1"/>
      <c r="H18" s="1"/>
    </row>
    <row r="19" spans="6:8" ht="12.75">
      <c r="F19" s="1"/>
      <c r="G19" s="1"/>
      <c r="H19" s="1"/>
    </row>
  </sheetData>
  <sheetProtection/>
  <mergeCells count="6">
    <mergeCell ref="A2:J2"/>
    <mergeCell ref="H3:I3"/>
    <mergeCell ref="A1:J1"/>
    <mergeCell ref="D3:E3"/>
    <mergeCell ref="F3:G3"/>
    <mergeCell ref="A3:C3"/>
  </mergeCells>
  <printOptions/>
  <pageMargins left="0.511811024" right="0.511811024" top="0.787401575" bottom="0.787401575" header="0.31496062" footer="0.3149606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</cp:lastModifiedBy>
  <cp:lastPrinted>2019-03-27T21:42:15Z</cp:lastPrinted>
  <dcterms:created xsi:type="dcterms:W3CDTF">2006-09-22T13:55:22Z</dcterms:created>
  <dcterms:modified xsi:type="dcterms:W3CDTF">2019-04-09T11:32:46Z</dcterms:modified>
  <cp:category/>
  <cp:version/>
  <cp:contentType/>
  <cp:contentStatus/>
</cp:coreProperties>
</file>